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6" activeTab="9"/>
  </bookViews>
  <sheets>
    <sheet name="รายงานรับ-จ่าย" sheetId="1" r:id="rId1"/>
    <sheet name="หมายเหตุประกอบ" sheetId="2" r:id="rId2"/>
    <sheet name="ระบุวัตถุประสงค์" sheetId="3" r:id="rId3"/>
    <sheet name="กระแสเงินสด" sheetId="4" r:id="rId4"/>
    <sheet name="งบกระทบยอดธนาคารธกส." sheetId="5" r:id="rId5"/>
    <sheet name="งบกระทบยอดธนาคารธกส. (2)" sheetId="6" r:id="rId6"/>
    <sheet name="งบกระทบยอดธนาคารกรุงไทย" sheetId="7" r:id="rId7"/>
    <sheet name="งบทดลอง" sheetId="8" r:id="rId8"/>
    <sheet name="กระดาษทำการ(เงินรายรับ)" sheetId="9" r:id="rId9"/>
    <sheet name="คงเหลือรายรับ" sheetId="10" r:id="rId10"/>
    <sheet name="กระดาษทำการเงินสะสม" sheetId="11" r:id="rId11"/>
    <sheet name="กระดาษทำการเงินอุดหนุนค้างจ่าย" sheetId="12" r:id="rId12"/>
    <sheet name="กระดาษทำการรายจ่ายค้างจ่าย" sheetId="13" r:id="rId13"/>
  </sheets>
  <definedNames>
    <definedName name="_xlnm.Print_Area" localSheetId="3">'กระแสเงินสด'!$A$1:$J$36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  <author>iLLuSioN</author>
    <author>CasperX</author>
    <author>MoZarD</author>
    <author>sKzXP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9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9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8" authorId="2">
      <text>
        <r>
          <rPr>
            <sz val="8"/>
            <rFont val="Tahoma"/>
            <family val="0"/>
          </rPr>
          <t xml:space="preserve">ค่าตอบแทนการปฏิบัติงานในศูนย์หรือนอกศูนย์ อปพร.
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B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I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I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ครุภัณฑ์คอมพิวเตอร์</t>
        </r>
      </text>
    </comment>
    <comment ref="A1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2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2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A28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เงินอื่นๆ (เงินปรับเพิ่มตามคุณวุฒิ)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7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L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7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113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A13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A2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A1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
</t>
        </r>
      </text>
    </comment>
    <comment ref="C5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39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76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113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ค่าอาหารเสริม(นม)</t>
        </r>
      </text>
    </comment>
    <comment ref="A122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ครุภัณฑ์อื่น ๆ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com:เบี้ยยังชีพคนิการ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
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user:ค่าบำรุงรักษาและปรับปรุงที่ดินและสิ่งก่อสร้าง</t>
        </r>
        <r>
          <rPr>
            <sz val="8"/>
            <rFont val="Tahoma"/>
            <family val="0"/>
          </rPr>
          <t xml:space="preserve">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</commentList>
</comments>
</file>

<file path=xl/comments12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L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</commentList>
</comments>
</file>

<file path=xl/comments13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เงินสำรองจ่าย
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46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</commentList>
</comments>
</file>

<file path=xl/comments9.xml><?xml version="1.0" encoding="utf-8"?>
<comments xmlns="http://schemas.openxmlformats.org/spreadsheetml/2006/main">
  <authors>
    <author>com</author>
    <author>MoZarD</author>
    <author>user</author>
    <author>iLLuSioN</author>
    <author>CasperX</author>
    <author>sKzXP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P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30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เงินอื่น ๆ (เงินปรับเพิ่มตามวุฒิ)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8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ค่าบำรุงรักษาและปรับปรุงครุภัณฑ์(วงเงินเกิน 5,000 บาท)</t>
        </r>
      </text>
    </comment>
    <comment ref="A122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A123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A29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งานศาสนาและวัฒนธรรมท้องถิ่น
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งานศาสนาและวัฒนธรรมท้องถิ่น
</t>
        </r>
      </text>
    </comment>
    <comment ref="L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งานศาสนาและวัฒนธรรมท้องถิ่น
</t>
        </r>
      </text>
    </comment>
    <comment ref="L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งานศาสนาและวัฒนธรรมท้องถิ่น
</t>
        </r>
      </text>
    </comment>
    <comment ref="A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C5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39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75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C111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งานวางแผนสถิติและวิชาการ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F4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แผนงานการศึกษา</t>
        </r>
      </text>
    </comment>
    <comment ref="F38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แผนงานการศึกษา</t>
        </r>
      </text>
    </comment>
    <comment ref="F74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แผนงานการศึกษา</t>
        </r>
      </text>
    </comment>
    <comment ref="F110" authorId="5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แผนงานการศึกษา</t>
        </r>
      </text>
    </comment>
  </commentList>
</comments>
</file>

<file path=xl/sharedStrings.xml><?xml version="1.0" encoding="utf-8"?>
<sst xmlns="http://schemas.openxmlformats.org/spreadsheetml/2006/main" count="1141" uniqueCount="364">
  <si>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</si>
  <si>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</si>
  <si>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</si>
  <si>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</si>
  <si>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</si>
  <si>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</si>
  <si>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</si>
  <si>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</si>
  <si>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</si>
  <si>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</si>
  <si>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</si>
  <si>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</si>
  <si>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</si>
  <si>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</si>
  <si>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</si>
  <si>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</si>
  <si>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</si>
  <si>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</si>
  <si>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</si>
  <si>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</si>
  <si>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</si>
  <si>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</si>
  <si>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</si>
  <si>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</si>
  <si>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</si>
  <si>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</si>
  <si>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</si>
  <si>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</si>
  <si>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</si>
  <si>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</si>
  <si>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</si>
  <si>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</si>
  <si>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</si>
  <si>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</si>
  <si>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</si>
  <si>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</si>
  <si>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</si>
  <si>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</si>
  <si>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</si>
  <si>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</si>
  <si>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</si>
  <si>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</si>
  <si>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</si>
  <si>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</si>
  <si>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</si>
  <si>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</si>
  <si>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</si>
  <si>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</si>
  <si>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</si>
  <si>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</si>
  <si>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</si>
  <si>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</si>
  <si>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</si>
  <si>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</si>
  <si>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</si>
  <si>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</si>
  <si>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</si>
  <si>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</si>
  <si>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</si>
  <si>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</si>
  <si>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</si>
  <si>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</si>
  <si>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</si>
  <si>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</si>
  <si>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</si>
  <si>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</si>
  <si>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</si>
  <si>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</si>
  <si>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</si>
  <si>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</si>
  <si>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</si>
  <si>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</si>
  <si>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</si>
  <si>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</si>
  <si>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</si>
  <si>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</si>
  <si>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</si>
  <si>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</si>
  <si>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</si>
  <si>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</si>
  <si>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</si>
  <si>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</si>
  <si>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</si>
  <si>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</si>
  <si>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</si>
  <si>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</si>
  <si>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</si>
  <si>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</si>
  <si>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</si>
  <si>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</si>
  <si>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</si>
  <si>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</si>
  <si>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</si>
  <si>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</si>
  <si>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</si>
  <si>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</si>
  <si>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</si>
  <si>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</si>
  <si>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</si>
  <si>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</si>
  <si>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</si>
  <si>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</si>
  <si>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</si>
  <si>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</si>
  <si>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</si>
  <si>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</si>
  <si>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</si>
  <si>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</si>
  <si>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</si>
  <si>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</si>
  <si>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</si>
  <si>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</si>
  <si>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</si>
  <si>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</si>
  <si>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t>(นางนงนุช   รอดจบ)</t>
  </si>
  <si>
    <t>(นางนงนุช    รอดจบ)</t>
  </si>
  <si>
    <t>(นางนงนุช  รอดจบ)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</si>
  <si>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</si>
  <si>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</si>
  <si>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</si>
  <si>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</si>
  <si>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</si>
  <si>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</si>
  <si>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</si>
  <si>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</si>
  <si>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</si>
  <si>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</si>
  <si>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</si>
  <si>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</si>
  <si>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</si>
  <si>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</si>
  <si>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</si>
  <si>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</si>
  <si>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</si>
  <si>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</si>
  <si>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</si>
  <si>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</si>
  <si>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</si>
  <si>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</si>
  <si>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</si>
  <si>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</si>
  <si>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</si>
  <si>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</si>
  <si>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</si>
  <si>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</si>
  <si>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</si>
  <si>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</si>
  <si>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</si>
  <si>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</si>
  <si>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</si>
  <si>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</si>
  <si>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</si>
  <si>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</si>
  <si>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</si>
  <si>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</si>
  <si>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</si>
  <si>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</si>
  <si>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</si>
  <si>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</si>
  <si>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</si>
  <si>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</si>
  <si>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</si>
  <si>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</si>
  <si>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</si>
  <si>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</si>
  <si>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</si>
  <si>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</si>
  <si>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</si>
  <si>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</si>
  <si>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</si>
  <si>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</si>
  <si>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</si>
  <si>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</si>
  <si>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</si>
  <si>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</si>
  <si>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</si>
  <si>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</si>
  <si>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</si>
  <si>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</si>
  <si>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</si>
  <si>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</si>
  <si>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</si>
  <si>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</si>
  <si>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</si>
  <si>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</si>
  <si>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</si>
  <si>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</si>
  <si>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</si>
  <si>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</si>
  <si>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</si>
  <si>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</si>
  <si>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</si>
  <si>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</si>
  <si>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</si>
  <si>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</si>
  <si>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</si>
  <si>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</si>
  <si>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111100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</si>
  <si>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</si>
  <si>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</si>
  <si>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</si>
  <si>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</si>
  <si>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</si>
  <si>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</si>
  <si>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</si>
  <si>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ลูกหนี้เงินยืมเงินงบประมาณ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</si>
  <si>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</si>
  <si>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</si>
  <si>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</si>
  <si>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</si>
  <si>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</si>
  <si>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</si>
  <si>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</si>
  <si>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</si>
  <si>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</si>
  <si>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ลำดับ</t>
  </si>
  <si>
    <t>ภาษีโรงเรือนและที่ดิน</t>
  </si>
  <si>
    <t>จ่ายจากเงินอุดหนุนค้างจ่าย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</si>
  <si>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</si>
  <si>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</si>
  <si>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</si>
  <si>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</si>
  <si>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</si>
  <si>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</si>
  <si>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</si>
  <si>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</si>
  <si>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</si>
  <si>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</si>
  <si>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</si>
  <si>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</si>
  <si>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</si>
  <si>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จ่ายจากเงินสะสม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</si>
  <si>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</si>
  <si>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</si>
  <si>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ดอกเบี้ยเงินฝากธนาคาร</t>
  </si>
  <si>
    <t>ภาษีธุรกิจเฉพาะ</t>
  </si>
  <si>
    <t>ค่าธรรมเนียมอื่น ๆ</t>
  </si>
  <si>
    <t>111000</t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</si>
  <si>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</si>
  <si>
    <t>เลขที่เช็ค</t>
  </si>
  <si>
    <t>110606</t>
  </si>
  <si>
    <t>ลูกหนี้เงินยืม - เงินสะสม</t>
  </si>
  <si>
    <t>จ่ายลูกหนี้เงินยืม-เงินสะสม</t>
  </si>
  <si>
    <t>อำเภอปากพนัง      จังหวัด นครศรีธรรมราช</t>
  </si>
  <si>
    <t>(ลงชื่อ)………………………..                     (ลงชื่อ)………………………..             (ลงชื่อ)……………………………</t>
  </si>
  <si>
    <t>ค่าปรับการผิดสัญญา</t>
  </si>
  <si>
    <t>ค่าปรับอื่น ๆ</t>
  </si>
  <si>
    <t xml:space="preserve">ค่าใบอนุญาตอื่น </t>
  </si>
  <si>
    <t>รายได้จากการจำหน่ายน้ำประปา</t>
  </si>
  <si>
    <t>ค่าขายทอดตลาดทรัพย์สิน</t>
  </si>
  <si>
    <t>รายได้เบ็ดเตล็ดอื่น ๆ</t>
  </si>
  <si>
    <t>ภาษีจัดสรรอื่น ๆ</t>
  </si>
  <si>
    <t>รองปลัด อบต. รักษาราชการแทน</t>
  </si>
  <si>
    <t>ปลัดองค์การบริหารส่วนตำบล</t>
  </si>
  <si>
    <t>(นายวรรณชาติ   ยอดแก้ว)</t>
  </si>
  <si>
    <t>นายกองค์การบริหารส่วนตำบลเกาะทวด</t>
  </si>
  <si>
    <t xml:space="preserve">(ลงชื่อ)……………………….. </t>
  </si>
  <si>
    <t>(ลงชื่อ)……………………………</t>
  </si>
  <si>
    <t>(ลงชื่อ)……………………….</t>
  </si>
  <si>
    <t xml:space="preserve">(นายจิราวุธ  กรเพชร) </t>
  </si>
  <si>
    <t>(นายวรรณชาติ  ยอดแก้ว)</t>
  </si>
  <si>
    <t>ประจำเดือนตุลาคม  2553</t>
  </si>
  <si>
    <t>00251</t>
  </si>
  <si>
    <t>00231</t>
  </si>
  <si>
    <t>110900</t>
  </si>
  <si>
    <t>รับลูกหนี้เงินยืม-เงินสะสม</t>
  </si>
  <si>
    <t>รับค่าใช้สอย</t>
  </si>
  <si>
    <r>
      <t>ลงชื่อ</t>
    </r>
    <r>
      <rPr>
        <sz val="16"/>
        <rFont val="Cordia New"/>
        <family val="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</si>
  <si>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</si>
  <si>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(นางสาวเอมอร  ทรายขาว)</t>
  </si>
  <si>
    <t xml:space="preserve">       หัวหน้าส่วนการคลัง                                     ปลัดองค์การบริหารส่วนตำบล        นายกองค์การบริหารส่วนตำบลเกาะทวด</t>
  </si>
  <si>
    <t xml:space="preserve">    (นางสาวเอมอร  ทรายขาว)                                  (นายจิราวุธ  กรเพชร)                              (นายวรรณชาติ  ยอดแก้ว)</t>
  </si>
  <si>
    <t>ค่าธรรมเนียมจดทะเบียนพาณิชย์</t>
  </si>
  <si>
    <t>(นางสาวเอมอร   ทรายขาว)</t>
  </si>
  <si>
    <t>บัญชีเงินอุดหนุนระบุวัตถุประสงค์</t>
  </si>
  <si>
    <t>รับเงินเดือน(ฝ่ายประจำ)</t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</si>
  <si>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</si>
  <si>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r>
      <t xml:space="preserve">ตำแหน่ง </t>
    </r>
    <r>
      <rPr>
        <sz val="16"/>
        <rFont val="Cordia New"/>
        <family val="2"/>
      </rPr>
      <t>นักวิชาการเงินและบัญชี</t>
    </r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</si>
  <si>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</si>
  <si>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 xml:space="preserve">เงินอุดหนุนค้างจ่าย </t>
  </si>
  <si>
    <t xml:space="preserve">รายจ่ายค้างจ่าย </t>
  </si>
  <si>
    <t>นักวิชาการเงินและบัญชี</t>
  </si>
  <si>
    <t>ยอดคงเหลือตามรายงานธนาคาร ณ วันที่  30  มิถุนายน  2554</t>
  </si>
  <si>
    <t>วันที่ 30 มิ.ย. 54</t>
  </si>
  <si>
    <r>
      <t xml:space="preserve">ตำแหน่ง </t>
    </r>
    <r>
      <rPr>
        <sz val="16"/>
        <rFont val="Cordia New"/>
        <family val="2"/>
      </rPr>
      <t>นักวิชาการเงินและบัญชี</t>
    </r>
  </si>
  <si>
    <t>ยอดคงเหลือตามบัญชี ณ วันที่ 30  มิถุนายน  2554</t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</si>
  <si>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092-2-71685-2</t>
    </r>
  </si>
  <si>
    <t>17 มิ.ย.2554</t>
  </si>
  <si>
    <t>17 มิ.ย. 2554</t>
  </si>
  <si>
    <t>(นายจิราวุธ  กรเพชร)</t>
  </si>
  <si>
    <t>เงินส่วนลด ภ.บ.ท. 6%</t>
  </si>
  <si>
    <t xml:space="preserve"> เงินรับฝาก  (หมายเหตุ 2)</t>
  </si>
  <si>
    <t>7 ก.ย.2554</t>
  </si>
  <si>
    <t>6779674</t>
  </si>
  <si>
    <t>30 ก.ย.2554</t>
  </si>
  <si>
    <t>3 ต.ค. 2554</t>
  </si>
  <si>
    <t>ยอดคงเหลือตามรายงานธนาคาร ณ วันที่ 30  กันยายน  2554</t>
  </si>
  <si>
    <r>
      <t>ยอดคงเหลือตามบัญชี ณ วันที่</t>
    </r>
    <r>
      <rPr>
        <sz val="16"/>
        <rFont val="Cordia New"/>
        <family val="2"/>
      </rPr>
      <t xml:space="preserve">   30  กันยายน  2554</t>
    </r>
  </si>
  <si>
    <t>วันที่ 30 ก.ย. 54</t>
  </si>
  <si>
    <t>ประจำเดือนตุลาคม  2554</t>
  </si>
  <si>
    <t>ปีงบประมาณ  2555</t>
  </si>
  <si>
    <t>ประกอบรายงานรับ-จ่ายเงินสดและงบทดลอง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</si>
  <si>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</si>
  <si>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</si>
  <si>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</si>
  <si>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เงินอุดหนุนทั่วไปสำหรับดำเนินการตามอำนาจหน้าที่และภารกิจฯ</t>
  </si>
  <si>
    <t>รายรับ (หมายเหตุ 1)</t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</si>
  <si>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</si>
  <si>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เงินอุดหนุนเฉพาะกิจ-สนับสนุนเบี้ยยังชีพคนพิการ</t>
  </si>
  <si>
    <t>เงินอุดหนุนเฉพาะกิจ-สนับสนุนเบี้ยยังชีพคนชรา</t>
  </si>
  <si>
    <t>เงินอุดหนุนค้างจ่าย (หมายเหตุ 3)</t>
  </si>
  <si>
    <t>รายจ่ายค้างจ่าย (หมายเหตุ 4)</t>
  </si>
  <si>
    <t xml:space="preserve">รายจ่ายรอจ่าย </t>
  </si>
  <si>
    <r>
      <t xml:space="preserve">             </t>
    </r>
    <r>
      <rPr>
        <b/>
        <sz val="14"/>
        <rFont val="Cordia New"/>
        <family val="2"/>
      </rPr>
      <t xml:space="preserve">ธนาคาร   </t>
    </r>
    <r>
      <rPr>
        <sz val="14"/>
        <rFont val="Cordia New"/>
        <family val="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</si>
  <si>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</si>
  <si>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4"/>
        <rFont val="Cordia New"/>
        <family val="2"/>
      </rPr>
      <t xml:space="preserve">เลขที่บัญชี  </t>
    </r>
    <r>
      <rPr>
        <sz val="14"/>
        <rFont val="Cordia New"/>
        <family val="2"/>
      </rPr>
      <t>092-2-70597-6</t>
    </r>
  </si>
  <si>
    <r>
      <t xml:space="preserve">     </t>
    </r>
    <r>
      <rPr>
        <b/>
        <u val="single"/>
        <sz val="14"/>
        <rFont val="Cordia New"/>
        <family val="2"/>
      </rPr>
      <t xml:space="preserve">วันที่ลงบัญชี </t>
    </r>
    <r>
      <rPr>
        <u val="single"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                          </t>
    </r>
    <r>
      <rPr>
        <b/>
        <u val="single"/>
        <sz val="14"/>
        <rFont val="Cordia New"/>
        <family val="2"/>
      </rPr>
      <t>วันที่ฝากธนาคาร</t>
    </r>
    <r>
      <rPr>
        <u val="single"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                     </t>
    </r>
    <r>
      <rPr>
        <b/>
        <u val="single"/>
        <sz val="14"/>
        <rFont val="Cordia New"/>
        <family val="2"/>
      </rPr>
      <t>จำนวนเงิน</t>
    </r>
  </si>
  <si>
    <r>
      <t xml:space="preserve">     </t>
    </r>
    <r>
      <rPr>
        <b/>
        <u val="single"/>
        <sz val="14"/>
        <rFont val="Cordia New"/>
        <family val="2"/>
      </rPr>
      <t>วันที่</t>
    </r>
    <r>
      <rPr>
        <u val="single"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                                     </t>
    </r>
    <r>
      <rPr>
        <b/>
        <u val="single"/>
        <sz val="14"/>
        <rFont val="Cordia New"/>
        <family val="2"/>
      </rPr>
      <t>เลขที่เช็ค</t>
    </r>
    <r>
      <rPr>
        <sz val="14"/>
        <rFont val="Cordia New"/>
        <family val="2"/>
      </rPr>
      <t xml:space="preserve">                                    </t>
    </r>
    <r>
      <rPr>
        <b/>
        <u val="single"/>
        <sz val="14"/>
        <rFont val="Cordia New"/>
        <family val="2"/>
      </rPr>
      <t>จำนวนเงิน</t>
    </r>
  </si>
  <si>
    <r>
      <t xml:space="preserve">  </t>
    </r>
    <r>
      <rPr>
        <b/>
        <sz val="14"/>
        <rFont val="Cordia New"/>
        <family val="2"/>
      </rPr>
      <t>ผู้ตรวจสอบ</t>
    </r>
  </si>
  <si>
    <r>
      <t>ลงชื่อ</t>
    </r>
    <r>
      <rPr>
        <sz val="14"/>
        <rFont val="Cordia New"/>
        <family val="2"/>
      </rPr>
      <t xml:space="preserve">  นางนงนุช   รอดจบ</t>
    </r>
  </si>
  <si>
    <r>
      <t>ลงชื่อ</t>
    </r>
    <r>
      <rPr>
        <sz val="14"/>
        <rFont val="Cordia New"/>
        <family val="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</si>
  <si>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</si>
  <si>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</rPr>
      <t>หัวหน้าส่วนการคลัง</t>
    </r>
  </si>
  <si>
    <t>00112</t>
  </si>
  <si>
    <t xml:space="preserve"> </t>
  </si>
  <si>
    <t>ส่งเสริมสวัสดิการเบี้ยยังชีพคนพิการ</t>
  </si>
  <si>
    <t>สนับสนุนเบี้ยยังชีพคนชรา</t>
  </si>
  <si>
    <t>ลูกหนี้เงินยืมเงินนอกงบประมาณ</t>
  </si>
  <si>
    <t>เงินอุดหนุนระบุวัตถุประสงค์ (หมายเหตุ 5)</t>
  </si>
  <si>
    <t>ลูกหนี้เงินยืมเงินสะสม</t>
  </si>
  <si>
    <t>หมายเหตุ  4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</si>
  <si>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</si>
  <si>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16 ธ.ค. 2554</t>
  </si>
  <si>
    <t>3929663</t>
  </si>
  <si>
    <t>ประจำเดือนมกราคม  2555</t>
  </si>
  <si>
    <t>เงินอุดหนุนศูนย์พัฒนาเด็กเล็ก</t>
  </si>
  <si>
    <t>สนับสนุนศูนย์พัฒนาเด็กเล็ก</t>
  </si>
  <si>
    <t>ประจำเดือนกุมภาพันธ์  2555</t>
  </si>
  <si>
    <t xml:space="preserve"> ณ วันที่   29  กุมภาพันธ์  2555</t>
  </si>
  <si>
    <t>ณ วันที่  29  กุมภาพันธ์  2555</t>
  </si>
  <si>
    <t xml:space="preserve"> ณ วันที่   29  กุมภาพันธ์   2555</t>
  </si>
  <si>
    <t xml:space="preserve"> ณ วันที่  29  กุมภาพันธ์  2555</t>
  </si>
  <si>
    <t>เพียงวันที่    29  กุมภาพันธ์  2555</t>
  </si>
  <si>
    <t>ยอดคงเหลือตามรายงานธนาคาร ณ วันที่  29  กุมภาพันธ์  2555</t>
  </si>
  <si>
    <t>1 ก.พ. 2555</t>
  </si>
  <si>
    <t>4354180</t>
  </si>
  <si>
    <t>13 ก.พ.2555</t>
  </si>
  <si>
    <t>4354198</t>
  </si>
  <si>
    <t>23 ก.พ.2555</t>
  </si>
  <si>
    <t>4354202</t>
  </si>
  <si>
    <t>4354203</t>
  </si>
  <si>
    <t>4354204</t>
  </si>
  <si>
    <t>4354207</t>
  </si>
  <si>
    <t>4354209</t>
  </si>
  <si>
    <t>29 ก.พ.2555</t>
  </si>
  <si>
    <t>4354216</t>
  </si>
  <si>
    <t>4354219</t>
  </si>
  <si>
    <t>4354220</t>
  </si>
  <si>
    <t>4354221</t>
  </si>
  <si>
    <t>4354225</t>
  </si>
  <si>
    <t>4354226</t>
  </si>
  <si>
    <t>4354227</t>
  </si>
  <si>
    <t>ยอดคงเหลือตามบัญชี ณ วันที่ 29 กุมภาพันธ์  2555</t>
  </si>
  <si>
    <t>วันที่ 29 ก.พ. 2555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</si>
</sst>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;[Red]0"/>
    <numFmt numFmtId="208" formatCode="#,##0.0"/>
    <numFmt numFmtId="209" formatCode="0.0"/>
    <numFmt numFmtId="210" formatCode="_-* #,##0.0_-;\-* #,##0.0_-;_-* &quot;-&quot;??_-;_-@_-"/>
    <numFmt numFmtId="211" formatCode="_-* #,##0_-;\-* #,##0_-;_-* &quot;-&quot;??_-;_-@_-"/>
    <numFmt numFmtId="212" formatCode="[$-41E]d\ mmmm\ yyyy"/>
    <numFmt numFmtId="213" formatCode="[$-107041E]d\ mmm\ yy;@"/>
    <numFmt numFmtId="214" formatCode="\ว\ \ \ด\ด\ \ \ป\ป"/>
    <numFmt numFmtId="215" formatCode="[&lt;=9999999][$-D000000]###\-####;[$-D000000]\(0#\)\ ###\-####"/>
    <numFmt numFmtId="216" formatCode="0.000"/>
    <numFmt numFmtId="217" formatCode="0.0000"/>
    <numFmt numFmtId="218" formatCode="0#"/>
    <numFmt numFmtId="219" formatCode="_-* #,##0.000_-;\-* #,##0.000_-;_-* &quot;-&quot;??_-;_-@_-"/>
    <numFmt numFmtId="220" formatCode="#,##0.00_ ;\-#,##0.00\ "/>
    <numFmt numFmtId="221" formatCode="#,##0.00;[Red]#,##0.00"/>
    <numFmt numFmtId="222" formatCode="[$-F800]dddd\,\ mmmm\ dd\,\ yyyy"/>
    <numFmt numFmtId="223" formatCode="[$-409]dddd\,\ mmmm\ dd\,\ yyyy"/>
    <numFmt numFmtId="224" formatCode="0.00;[Red]0.00"/>
    <numFmt numFmtId="225" formatCode="0.00_);\(0.00\)"/>
  </numFmts>
  <fonts count="72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8"/>
      <name val="Cordia New"/>
      <family val="0"/>
    </font>
    <font>
      <sz val="15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43" fontId="4" fillId="0" borderId="16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43" fontId="4" fillId="0" borderId="18" xfId="0" applyNumberFormat="1" applyFont="1" applyBorder="1" applyAlignment="1">
      <alignment horizontal="right"/>
    </xf>
    <xf numFmtId="43" fontId="4" fillId="0" borderId="16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43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15" xfId="0" applyNumberFormat="1" applyFont="1" applyBorder="1" applyAlignment="1">
      <alignment/>
    </xf>
    <xf numFmtId="43" fontId="8" fillId="0" borderId="15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21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23" xfId="0" applyNumberFormat="1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4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5" xfId="0" applyFont="1" applyBorder="1" applyAlignment="1">
      <alignment/>
    </xf>
    <xf numFmtId="43" fontId="13" fillId="0" borderId="15" xfId="0" applyNumberFormat="1" applyFont="1" applyBorder="1" applyAlignment="1">
      <alignment horizontal="right"/>
    </xf>
    <xf numFmtId="43" fontId="13" fillId="0" borderId="15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3" fontId="16" fillId="0" borderId="0" xfId="0" applyNumberFormat="1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9" fontId="15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0" fontId="20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3" fontId="15" fillId="0" borderId="0" xfId="38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Alignment="1">
      <alignment horizontal="right"/>
    </xf>
    <xf numFmtId="43" fontId="15" fillId="0" borderId="0" xfId="38" applyFont="1" applyBorder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21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23" xfId="0" applyNumberFormat="1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4" fillId="0" borderId="24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43" fontId="13" fillId="0" borderId="16" xfId="0" applyNumberFormat="1" applyFont="1" applyBorder="1" applyAlignment="1">
      <alignment/>
    </xf>
    <xf numFmtId="43" fontId="13" fillId="0" borderId="12" xfId="0" applyNumberFormat="1" applyFont="1" applyBorder="1" applyAlignment="1">
      <alignment/>
    </xf>
    <xf numFmtId="43" fontId="13" fillId="0" borderId="17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15" xfId="0" applyNumberFormat="1" applyFont="1" applyBorder="1" applyAlignment="1">
      <alignment horizontal="right"/>
    </xf>
    <xf numFmtId="43" fontId="14" fillId="0" borderId="15" xfId="0" applyNumberFormat="1" applyFont="1" applyBorder="1" applyAlignment="1">
      <alignment horizontal="right"/>
    </xf>
    <xf numFmtId="43" fontId="14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43" fontId="13" fillId="0" borderId="1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43" fontId="13" fillId="0" borderId="15" xfId="0" applyNumberFormat="1" applyFont="1" applyBorder="1" applyAlignment="1">
      <alignment/>
    </xf>
    <xf numFmtId="43" fontId="13" fillId="0" borderId="18" xfId="0" applyNumberFormat="1" applyFont="1" applyBorder="1" applyAlignment="1">
      <alignment/>
    </xf>
    <xf numFmtId="0" fontId="14" fillId="0" borderId="15" xfId="0" applyFont="1" applyBorder="1" applyAlignment="1">
      <alignment/>
    </xf>
    <xf numFmtId="43" fontId="13" fillId="0" borderId="18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43" fontId="13" fillId="0" borderId="16" xfId="0" applyNumberFormat="1" applyFont="1" applyBorder="1" applyAlignment="1">
      <alignment horizontal="right"/>
    </xf>
    <xf numFmtId="43" fontId="13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13" fillId="0" borderId="19" xfId="0" applyNumberFormat="1" applyFont="1" applyBorder="1" applyAlignment="1">
      <alignment/>
    </xf>
    <xf numFmtId="0" fontId="14" fillId="0" borderId="15" xfId="0" applyFont="1" applyBorder="1" applyAlignment="1">
      <alignment horizontal="right"/>
    </xf>
    <xf numFmtId="43" fontId="13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18" fillId="0" borderId="0" xfId="38" applyFont="1" applyAlignment="1">
      <alignment/>
    </xf>
    <xf numFmtId="43" fontId="17" fillId="0" borderId="0" xfId="38" applyFont="1" applyAlignment="1">
      <alignment/>
    </xf>
    <xf numFmtId="43" fontId="14" fillId="0" borderId="15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Alignment="1">
      <alignment/>
    </xf>
    <xf numFmtId="0" fontId="19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43" fontId="19" fillId="0" borderId="30" xfId="38" applyFont="1" applyBorder="1" applyAlignment="1">
      <alignment/>
    </xf>
    <xf numFmtId="0" fontId="19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43" fontId="19" fillId="0" borderId="16" xfId="38" applyFont="1" applyBorder="1" applyAlignment="1">
      <alignment/>
    </xf>
    <xf numFmtId="0" fontId="24" fillId="0" borderId="1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3" fontId="19" fillId="0" borderId="34" xfId="38" applyFont="1" applyBorder="1" applyAlignment="1">
      <alignment/>
    </xf>
    <xf numFmtId="4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43" fontId="24" fillId="0" borderId="30" xfId="38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24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left"/>
    </xf>
    <xf numFmtId="43" fontId="24" fillId="0" borderId="35" xfId="0" applyNumberFormat="1" applyFont="1" applyBorder="1" applyAlignment="1">
      <alignment horizontal="center"/>
    </xf>
    <xf numFmtId="43" fontId="24" fillId="0" borderId="36" xfId="38" applyFont="1" applyBorder="1" applyAlignment="1">
      <alignment horizontal="right"/>
    </xf>
    <xf numFmtId="43" fontId="24" fillId="0" borderId="37" xfId="38" applyFont="1" applyBorder="1" applyAlignment="1">
      <alignment horizontal="center"/>
    </xf>
    <xf numFmtId="43" fontId="24" fillId="0" borderId="15" xfId="38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43" fontId="24" fillId="0" borderId="15" xfId="0" applyNumberFormat="1" applyFont="1" applyBorder="1" applyAlignment="1">
      <alignment horizontal="center"/>
    </xf>
    <xf numFmtId="43" fontId="23" fillId="0" borderId="0" xfId="38" applyFont="1" applyAlignment="1">
      <alignment/>
    </xf>
    <xf numFmtId="43" fontId="18" fillId="0" borderId="0" xfId="38" applyFont="1" applyAlignment="1">
      <alignment horizontal="center"/>
    </xf>
    <xf numFmtId="0" fontId="15" fillId="0" borderId="0" xfId="0" applyFont="1" applyAlignment="1">
      <alignment horizontal="right"/>
    </xf>
    <xf numFmtId="43" fontId="15" fillId="0" borderId="38" xfId="38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43" fontId="13" fillId="0" borderId="33" xfId="0" applyNumberFormat="1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3" fontId="4" fillId="0" borderId="29" xfId="0" applyNumberFormat="1" applyFont="1" applyBorder="1" applyAlignment="1">
      <alignment horizontal="right"/>
    </xf>
    <xf numFmtId="43" fontId="4" fillId="0" borderId="33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 horizontal="center"/>
    </xf>
    <xf numFmtId="43" fontId="0" fillId="0" borderId="3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33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24" fillId="0" borderId="39" xfId="38" applyFont="1" applyBorder="1" applyAlignment="1">
      <alignment horizontal="right"/>
    </xf>
    <xf numFmtId="43" fontId="18" fillId="0" borderId="0" xfId="0" applyNumberFormat="1" applyFont="1" applyAlignment="1">
      <alignment/>
    </xf>
    <xf numFmtId="0" fontId="25" fillId="0" borderId="37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43" fontId="15" fillId="0" borderId="35" xfId="38" applyFont="1" applyBorder="1" applyAlignment="1">
      <alignment/>
    </xf>
    <xf numFmtId="0" fontId="19" fillId="0" borderId="29" xfId="0" applyFont="1" applyBorder="1" applyAlignment="1">
      <alignment horizontal="center"/>
    </xf>
    <xf numFmtId="43" fontId="15" fillId="0" borderId="29" xfId="38" applyFont="1" applyBorder="1" applyAlignment="1">
      <alignment/>
    </xf>
    <xf numFmtId="0" fontId="15" fillId="0" borderId="30" xfId="0" applyFont="1" applyBorder="1" applyAlignment="1">
      <alignment/>
    </xf>
    <xf numFmtId="43" fontId="15" fillId="0" borderId="30" xfId="38" applyFont="1" applyBorder="1" applyAlignment="1">
      <alignment/>
    </xf>
    <xf numFmtId="0" fontId="24" fillId="0" borderId="0" xfId="0" applyFont="1" applyBorder="1" applyAlignment="1">
      <alignment horizontal="center"/>
    </xf>
    <xf numFmtId="43" fontId="24" fillId="0" borderId="15" xfId="38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3" fontId="0" fillId="0" borderId="15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43" fontId="0" fillId="0" borderId="18" xfId="0" applyNumberFormat="1" applyFont="1" applyBorder="1" applyAlignment="1">
      <alignment horizontal="right"/>
    </xf>
    <xf numFmtId="43" fontId="8" fillId="0" borderId="29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43" fontId="0" fillId="0" borderId="16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43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8" fillId="0" borderId="0" xfId="0" applyFont="1" applyBorder="1" applyAlignment="1">
      <alignment/>
    </xf>
    <xf numFmtId="43" fontId="8" fillId="0" borderId="33" xfId="0" applyNumberFormat="1" applyFont="1" applyBorder="1" applyAlignment="1">
      <alignment horizontal="right"/>
    </xf>
    <xf numFmtId="43" fontId="8" fillId="0" borderId="33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49" fontId="19" fillId="0" borderId="17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23" xfId="0" applyNumberFormat="1" applyFont="1" applyBorder="1" applyAlignment="1">
      <alignment/>
    </xf>
    <xf numFmtId="49" fontId="19" fillId="0" borderId="24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43" fontId="19" fillId="0" borderId="16" xfId="0" applyNumberFormat="1" applyFont="1" applyBorder="1" applyAlignment="1">
      <alignment/>
    </xf>
    <xf numFmtId="43" fontId="19" fillId="0" borderId="12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9" fontId="19" fillId="0" borderId="15" xfId="0" applyNumberFormat="1" applyFont="1" applyBorder="1" applyAlignment="1">
      <alignment horizontal="right"/>
    </xf>
    <xf numFmtId="43" fontId="19" fillId="0" borderId="15" xfId="0" applyNumberFormat="1" applyFont="1" applyBorder="1" applyAlignment="1">
      <alignment horizontal="right"/>
    </xf>
    <xf numFmtId="43" fontId="19" fillId="0" borderId="15" xfId="0" applyNumberFormat="1" applyFont="1" applyBorder="1" applyAlignment="1">
      <alignment/>
    </xf>
    <xf numFmtId="43" fontId="19" fillId="0" borderId="18" xfId="0" applyNumberFormat="1" applyFont="1" applyBorder="1" applyAlignment="1">
      <alignment/>
    </xf>
    <xf numFmtId="0" fontId="31" fillId="0" borderId="15" xfId="0" applyFont="1" applyBorder="1" applyAlignment="1">
      <alignment/>
    </xf>
    <xf numFmtId="43" fontId="31" fillId="0" borderId="15" xfId="0" applyNumberFormat="1" applyFont="1" applyBorder="1" applyAlignment="1">
      <alignment horizontal="right"/>
    </xf>
    <xf numFmtId="43" fontId="31" fillId="0" borderId="15" xfId="0" applyNumberFormat="1" applyFont="1" applyBorder="1" applyAlignment="1">
      <alignment/>
    </xf>
    <xf numFmtId="0" fontId="31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43" fontId="19" fillId="0" borderId="18" xfId="0" applyNumberFormat="1" applyFont="1" applyBorder="1" applyAlignment="1">
      <alignment horizontal="right"/>
    </xf>
    <xf numFmtId="43" fontId="31" fillId="0" borderId="29" xfId="0" applyNumberFormat="1" applyFont="1" applyBorder="1" applyAlignment="1">
      <alignment horizontal="right"/>
    </xf>
    <xf numFmtId="43" fontId="19" fillId="0" borderId="16" xfId="0" applyNumberFormat="1" applyFont="1" applyBorder="1" applyAlignment="1">
      <alignment horizontal="right"/>
    </xf>
    <xf numFmtId="43" fontId="19" fillId="0" borderId="12" xfId="0" applyNumberFormat="1" applyFont="1" applyBorder="1" applyAlignment="1">
      <alignment horizontal="right"/>
    </xf>
    <xf numFmtId="0" fontId="31" fillId="0" borderId="16" xfId="0" applyFont="1" applyBorder="1" applyAlignment="1">
      <alignment/>
    </xf>
    <xf numFmtId="43" fontId="19" fillId="0" borderId="19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43" fontId="31" fillId="0" borderId="0" xfId="0" applyNumberFormat="1" applyFont="1" applyBorder="1" applyAlignment="1">
      <alignment horizontal="right"/>
    </xf>
    <xf numFmtId="43" fontId="19" fillId="0" borderId="0" xfId="0" applyNumberFormat="1" applyFont="1" applyBorder="1" applyAlignment="1">
      <alignment horizontal="right"/>
    </xf>
    <xf numFmtId="43" fontId="31" fillId="0" borderId="0" xfId="0" applyNumberFormat="1" applyFont="1" applyBorder="1" applyAlignment="1">
      <alignment/>
    </xf>
    <xf numFmtId="43" fontId="32" fillId="0" borderId="0" xfId="0" applyNumberFormat="1" applyFont="1" applyBorder="1" applyAlignment="1">
      <alignment horizontal="right"/>
    </xf>
    <xf numFmtId="43" fontId="19" fillId="0" borderId="0" xfId="0" applyNumberFormat="1" applyFont="1" applyBorder="1" applyAlignment="1">
      <alignment horizontal="center"/>
    </xf>
    <xf numFmtId="43" fontId="32" fillId="0" borderId="0" xfId="0" applyNumberFormat="1" applyFont="1" applyBorder="1" applyAlignment="1">
      <alignment/>
    </xf>
    <xf numFmtId="0" fontId="19" fillId="0" borderId="15" xfId="0" applyFont="1" applyBorder="1" applyAlignment="1">
      <alignment horizontal="right"/>
    </xf>
    <xf numFmtId="0" fontId="31" fillId="0" borderId="0" xfId="0" applyFont="1" applyBorder="1" applyAlignment="1">
      <alignment/>
    </xf>
    <xf numFmtId="43" fontId="31" fillId="0" borderId="33" xfId="0" applyNumberFormat="1" applyFont="1" applyBorder="1" applyAlignment="1">
      <alignment horizontal="right"/>
    </xf>
    <xf numFmtId="43" fontId="31" fillId="0" borderId="33" xfId="0" applyNumberFormat="1" applyFont="1" applyBorder="1" applyAlignment="1">
      <alignment/>
    </xf>
    <xf numFmtId="0" fontId="32" fillId="0" borderId="0" xfId="0" applyFont="1" applyBorder="1" applyAlignment="1">
      <alignment/>
    </xf>
    <xf numFmtId="43" fontId="24" fillId="0" borderId="0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43" fontId="13" fillId="0" borderId="16" xfId="0" applyNumberFormat="1" applyFont="1" applyBorder="1" applyAlignment="1">
      <alignment horizontal="right"/>
    </xf>
    <xf numFmtId="43" fontId="13" fillId="0" borderId="12" xfId="0" applyNumberFormat="1" applyFont="1" applyBorder="1" applyAlignment="1">
      <alignment horizontal="right"/>
    </xf>
    <xf numFmtId="43" fontId="13" fillId="0" borderId="16" xfId="0" applyNumberFormat="1" applyFont="1" applyBorder="1" applyAlignment="1">
      <alignment/>
    </xf>
    <xf numFmtId="43" fontId="13" fillId="0" borderId="12" xfId="0" applyNumberFormat="1" applyFont="1" applyBorder="1" applyAlignment="1">
      <alignment/>
    </xf>
    <xf numFmtId="43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43" fontId="13" fillId="0" borderId="18" xfId="0" applyNumberFormat="1" applyFont="1" applyBorder="1" applyAlignment="1">
      <alignment horizontal="right"/>
    </xf>
    <xf numFmtId="43" fontId="13" fillId="0" borderId="18" xfId="0" applyNumberFormat="1" applyFont="1" applyBorder="1" applyAlignment="1">
      <alignment/>
    </xf>
    <xf numFmtId="0" fontId="13" fillId="0" borderId="16" xfId="0" applyFont="1" applyBorder="1" applyAlignment="1">
      <alignment/>
    </xf>
    <xf numFmtId="43" fontId="13" fillId="0" borderId="19" xfId="0" applyNumberFormat="1" applyFont="1" applyBorder="1" applyAlignment="1">
      <alignment/>
    </xf>
    <xf numFmtId="0" fontId="14" fillId="0" borderId="15" xfId="0" applyFont="1" applyBorder="1" applyAlignment="1">
      <alignment horizontal="right"/>
    </xf>
    <xf numFmtId="43" fontId="13" fillId="0" borderId="33" xfId="0" applyNumberFormat="1" applyFont="1" applyBorder="1" applyAlignment="1">
      <alignment horizontal="right"/>
    </xf>
    <xf numFmtId="43" fontId="14" fillId="0" borderId="33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43" fontId="13" fillId="0" borderId="17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9" fontId="14" fillId="0" borderId="15" xfId="0" applyNumberFormat="1" applyFont="1" applyBorder="1" applyAlignment="1">
      <alignment horizontal="right"/>
    </xf>
    <xf numFmtId="43" fontId="14" fillId="0" borderId="18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43" fontId="14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21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43" fontId="23" fillId="0" borderId="0" xfId="38" applyFont="1" applyAlignment="1">
      <alignment horizontal="left"/>
    </xf>
    <xf numFmtId="43" fontId="23" fillId="0" borderId="0" xfId="38" applyFont="1" applyAlignment="1">
      <alignment horizontal="right"/>
    </xf>
    <xf numFmtId="43" fontId="15" fillId="0" borderId="42" xfId="38" applyFont="1" applyBorder="1" applyAlignment="1">
      <alignment/>
    </xf>
    <xf numFmtId="43" fontId="15" fillId="0" borderId="13" xfId="38" applyFont="1" applyBorder="1" applyAlignment="1">
      <alignment/>
    </xf>
    <xf numFmtId="43" fontId="15" fillId="0" borderId="13" xfId="38" applyFont="1" applyBorder="1" applyAlignment="1">
      <alignment horizontal="right"/>
    </xf>
    <xf numFmtId="43" fontId="15" fillId="0" borderId="13" xfId="38" applyFont="1" applyBorder="1" applyAlignment="1">
      <alignment horizontal="center"/>
    </xf>
    <xf numFmtId="43" fontId="18" fillId="0" borderId="0" xfId="38" applyFont="1" applyBorder="1" applyAlignment="1">
      <alignment/>
    </xf>
    <xf numFmtId="43" fontId="18" fillId="0" borderId="13" xfId="38" applyFont="1" applyBorder="1" applyAlignment="1">
      <alignment/>
    </xf>
    <xf numFmtId="43" fontId="15" fillId="0" borderId="19" xfId="38" applyFont="1" applyBorder="1" applyAlignment="1">
      <alignment/>
    </xf>
    <xf numFmtId="0" fontId="18" fillId="0" borderId="43" xfId="0" applyFont="1" applyBorder="1" applyAlignment="1">
      <alignment/>
    </xf>
    <xf numFmtId="0" fontId="20" fillId="0" borderId="0" xfId="0" applyFont="1" applyBorder="1" applyAlignment="1">
      <alignment/>
    </xf>
    <xf numFmtId="43" fontId="15" fillId="0" borderId="31" xfId="38" applyFont="1" applyBorder="1" applyAlignment="1">
      <alignment/>
    </xf>
    <xf numFmtId="43" fontId="15" fillId="0" borderId="30" xfId="38" applyFont="1" applyBorder="1" applyAlignment="1">
      <alignment horizontal="right"/>
    </xf>
    <xf numFmtId="43" fontId="15" fillId="0" borderId="30" xfId="38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43" fontId="15" fillId="0" borderId="16" xfId="38" applyFont="1" applyBorder="1" applyAlignment="1">
      <alignment horizontal="center"/>
    </xf>
    <xf numFmtId="43" fontId="18" fillId="0" borderId="40" xfId="38" applyFont="1" applyBorder="1" applyAlignment="1">
      <alignment horizontal="center"/>
    </xf>
    <xf numFmtId="43" fontId="18" fillId="0" borderId="41" xfId="38" applyFont="1" applyBorder="1" applyAlignment="1">
      <alignment horizontal="center"/>
    </xf>
    <xf numFmtId="43" fontId="28" fillId="0" borderId="0" xfId="38" applyFont="1" applyBorder="1" applyAlignment="1">
      <alignment/>
    </xf>
    <xf numFmtId="43" fontId="18" fillId="0" borderId="14" xfId="38" applyFont="1" applyBorder="1" applyAlignment="1">
      <alignment horizontal="center"/>
    </xf>
    <xf numFmtId="43" fontId="18" fillId="0" borderId="46" xfId="38" applyFont="1" applyBorder="1" applyAlignment="1">
      <alignment/>
    </xf>
    <xf numFmtId="43" fontId="15" fillId="0" borderId="46" xfId="38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18" fillId="0" borderId="30" xfId="38" applyFont="1" applyBorder="1" applyAlignment="1">
      <alignment horizontal="center"/>
    </xf>
    <xf numFmtId="43" fontId="15" fillId="0" borderId="15" xfId="38" applyFont="1" applyBorder="1" applyAlignment="1">
      <alignment/>
    </xf>
    <xf numFmtId="49" fontId="15" fillId="0" borderId="47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29" xfId="0" applyFont="1" applyBorder="1" applyAlignment="1">
      <alignment/>
    </xf>
    <xf numFmtId="43" fontId="15" fillId="0" borderId="16" xfId="38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24" fillId="0" borderId="49" xfId="0" applyFont="1" applyBorder="1" applyAlignment="1">
      <alignment horizontal="center"/>
    </xf>
    <xf numFmtId="43" fontId="24" fillId="0" borderId="49" xfId="38" applyFont="1" applyBorder="1" applyAlignment="1">
      <alignment horizontal="center"/>
    </xf>
    <xf numFmtId="39" fontId="15" fillId="0" borderId="30" xfId="38" applyNumberFormat="1" applyFont="1" applyBorder="1" applyAlignment="1">
      <alignment/>
    </xf>
    <xf numFmtId="194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4" fontId="15" fillId="0" borderId="50" xfId="38" applyNumberFormat="1" applyFont="1" applyBorder="1" applyAlignment="1">
      <alignment/>
    </xf>
    <xf numFmtId="194" fontId="15" fillId="0" borderId="0" xfId="38" applyNumberFormat="1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left" vertical="center"/>
    </xf>
    <xf numFmtId="49" fontId="15" fillId="0" borderId="30" xfId="0" applyNumberFormat="1" applyFont="1" applyBorder="1" applyAlignment="1">
      <alignment horizontal="center" vertical="center"/>
    </xf>
    <xf numFmtId="41" fontId="15" fillId="0" borderId="51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3" fontId="15" fillId="0" borderId="55" xfId="0" applyNumberFormat="1" applyFont="1" applyBorder="1" applyAlignment="1">
      <alignment/>
    </xf>
    <xf numFmtId="218" fontId="15" fillId="0" borderId="56" xfId="0" applyNumberFormat="1" applyFont="1" applyBorder="1" applyAlignment="1">
      <alignment horizontal="center"/>
    </xf>
    <xf numFmtId="3" fontId="15" fillId="0" borderId="55" xfId="0" applyNumberFormat="1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3" fontId="15" fillId="0" borderId="55" xfId="0" applyNumberFormat="1" applyFont="1" applyBorder="1" applyAlignment="1">
      <alignment horizontal="right"/>
    </xf>
    <xf numFmtId="218" fontId="15" fillId="0" borderId="57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218" fontId="15" fillId="0" borderId="58" xfId="0" applyNumberFormat="1" applyFont="1" applyBorder="1" applyAlignment="1">
      <alignment horizontal="center"/>
    </xf>
    <xf numFmtId="41" fontId="15" fillId="0" borderId="55" xfId="0" applyNumberFormat="1" applyFont="1" applyBorder="1" applyAlignment="1">
      <alignment horizontal="right"/>
    </xf>
    <xf numFmtId="3" fontId="15" fillId="0" borderId="59" xfId="0" applyNumberFormat="1" applyFont="1" applyBorder="1" applyAlignment="1">
      <alignment/>
    </xf>
    <xf numFmtId="218" fontId="15" fillId="0" borderId="50" xfId="0" applyNumberFormat="1" applyFont="1" applyBorder="1" applyAlignment="1">
      <alignment horizontal="center"/>
    </xf>
    <xf numFmtId="218" fontId="15" fillId="0" borderId="60" xfId="0" applyNumberFormat="1" applyFont="1" applyBorder="1" applyAlignment="1">
      <alignment horizontal="center"/>
    </xf>
    <xf numFmtId="218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3" fillId="0" borderId="26" xfId="0" applyNumberFormat="1" applyFont="1" applyFill="1" applyBorder="1" applyAlignment="1">
      <alignment horizontal="center"/>
    </xf>
    <xf numFmtId="43" fontId="14" fillId="0" borderId="16" xfId="0" applyNumberFormat="1" applyFont="1" applyBorder="1" applyAlignment="1">
      <alignment/>
    </xf>
    <xf numFmtId="43" fontId="14" fillId="0" borderId="19" xfId="0" applyNumberFormat="1" applyFont="1" applyBorder="1" applyAlignment="1">
      <alignment/>
    </xf>
    <xf numFmtId="49" fontId="13" fillId="0" borderId="6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3" fontId="14" fillId="0" borderId="0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3" fontId="15" fillId="0" borderId="29" xfId="38" applyFont="1" applyBorder="1" applyAlignment="1">
      <alignment/>
    </xf>
    <xf numFmtId="43" fontId="15" fillId="0" borderId="30" xfId="38" applyFont="1" applyBorder="1" applyAlignment="1">
      <alignment/>
    </xf>
    <xf numFmtId="43" fontId="15" fillId="0" borderId="35" xfId="38" applyFont="1" applyBorder="1" applyAlignment="1">
      <alignment/>
    </xf>
    <xf numFmtId="43" fontId="19" fillId="0" borderId="30" xfId="38" applyFont="1" applyBorder="1" applyAlignment="1">
      <alignment/>
    </xf>
    <xf numFmtId="43" fontId="19" fillId="0" borderId="34" xfId="38" applyFont="1" applyBorder="1" applyAlignment="1">
      <alignment/>
    </xf>
    <xf numFmtId="43" fontId="19" fillId="0" borderId="16" xfId="38" applyFont="1" applyBorder="1" applyAlignment="1">
      <alignment/>
    </xf>
    <xf numFmtId="43" fontId="24" fillId="0" borderId="30" xfId="38" applyFont="1" applyBorder="1" applyAlignment="1">
      <alignment/>
    </xf>
    <xf numFmtId="43" fontId="24" fillId="0" borderId="15" xfId="38" applyFont="1" applyBorder="1" applyAlignment="1">
      <alignment/>
    </xf>
    <xf numFmtId="43" fontId="24" fillId="0" borderId="37" xfId="38" applyFont="1" applyBorder="1" applyAlignment="1">
      <alignment/>
    </xf>
    <xf numFmtId="43" fontId="24" fillId="0" borderId="36" xfId="38" applyFont="1" applyBorder="1" applyAlignment="1">
      <alignment/>
    </xf>
    <xf numFmtId="43" fontId="24" fillId="0" borderId="49" xfId="38" applyFont="1" applyBorder="1" applyAlignment="1">
      <alignment/>
    </xf>
    <xf numFmtId="43" fontId="19" fillId="0" borderId="0" xfId="38" applyFont="1" applyAlignment="1">
      <alignment/>
    </xf>
    <xf numFmtId="43" fontId="19" fillId="0" borderId="0" xfId="38" applyFont="1" applyBorder="1" applyAlignment="1">
      <alignment/>
    </xf>
    <xf numFmtId="43" fontId="24" fillId="0" borderId="29" xfId="38" applyFont="1" applyBorder="1" applyAlignment="1">
      <alignment/>
    </xf>
    <xf numFmtId="43" fontId="24" fillId="0" borderId="0" xfId="38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3" fontId="24" fillId="0" borderId="33" xfId="38" applyFont="1" applyBorder="1" applyAlignment="1">
      <alignment horizontal="center"/>
    </xf>
    <xf numFmtId="43" fontId="24" fillId="0" borderId="33" xfId="38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left"/>
    </xf>
    <xf numFmtId="43" fontId="18" fillId="0" borderId="15" xfId="38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2" xfId="0" applyFont="1" applyBorder="1" applyAlignment="1">
      <alignment/>
    </xf>
    <xf numFmtId="43" fontId="15" fillId="0" borderId="62" xfId="38" applyFont="1" applyBorder="1" applyAlignment="1">
      <alignment/>
    </xf>
    <xf numFmtId="43" fontId="18" fillId="0" borderId="15" xfId="38" applyFont="1" applyBorder="1" applyAlignment="1">
      <alignment/>
    </xf>
    <xf numFmtId="4" fontId="2" fillId="0" borderId="0" xfId="0" applyNumberFormat="1" applyFont="1" applyAlignment="1">
      <alignment/>
    </xf>
    <xf numFmtId="43" fontId="2" fillId="0" borderId="0" xfId="38" applyFont="1" applyAlignment="1">
      <alignment/>
    </xf>
    <xf numFmtId="43" fontId="2" fillId="0" borderId="0" xfId="38" applyFont="1" applyAlignment="1">
      <alignment horizontal="right"/>
    </xf>
    <xf numFmtId="49" fontId="18" fillId="0" borderId="30" xfId="0" applyNumberFormat="1" applyFont="1" applyBorder="1" applyAlignment="1">
      <alignment horizontal="center"/>
    </xf>
    <xf numFmtId="49" fontId="18" fillId="0" borderId="4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43" fontId="15" fillId="0" borderId="62" xfId="38" applyFont="1" applyBorder="1" applyAlignment="1">
      <alignment/>
    </xf>
    <xf numFmtId="43" fontId="24" fillId="0" borderId="35" xfId="0" applyNumberFormat="1" applyFont="1" applyBorder="1" applyAlignment="1">
      <alignment/>
    </xf>
    <xf numFmtId="43" fontId="24" fillId="0" borderId="35" xfId="38" applyFont="1" applyBorder="1" applyAlignment="1">
      <alignment/>
    </xf>
    <xf numFmtId="43" fontId="19" fillId="0" borderId="34" xfId="38" applyFont="1" applyBorder="1" applyAlignment="1">
      <alignment horizontal="right"/>
    </xf>
    <xf numFmtId="43" fontId="19" fillId="0" borderId="36" xfId="38" applyFont="1" applyBorder="1" applyAlignment="1">
      <alignment horizontal="right"/>
    </xf>
    <xf numFmtId="43" fontId="19" fillId="0" borderId="36" xfId="38" applyFont="1" applyBorder="1" applyAlignment="1">
      <alignment/>
    </xf>
    <xf numFmtId="43" fontId="19" fillId="0" borderId="36" xfId="38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35" fillId="0" borderId="0" xfId="0" applyFont="1" applyAlignment="1">
      <alignment/>
    </xf>
    <xf numFmtId="0" fontId="4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13" fillId="0" borderId="61" xfId="0" applyNumberFormat="1" applyFont="1" applyBorder="1" applyAlignment="1">
      <alignment horizontal="center"/>
    </xf>
    <xf numFmtId="194" fontId="15" fillId="0" borderId="30" xfId="38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1" fontId="15" fillId="0" borderId="55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43" fontId="15" fillId="0" borderId="0" xfId="38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1" fillId="0" borderId="48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15" xfId="38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3" fontId="0" fillId="0" borderId="14" xfId="38" applyFont="1" applyBorder="1" applyAlignment="1">
      <alignment horizontal="right"/>
    </xf>
    <xf numFmtId="43" fontId="0" fillId="0" borderId="11" xfId="38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0" fillId="0" borderId="40" xfId="38" applyFont="1" applyBorder="1" applyAlignment="1">
      <alignment horizontal="right"/>
    </xf>
    <xf numFmtId="43" fontId="0" fillId="0" borderId="33" xfId="38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43" fontId="2" fillId="0" borderId="14" xfId="38" applyFont="1" applyBorder="1" applyAlignment="1">
      <alignment horizontal="right"/>
    </xf>
    <xf numFmtId="43" fontId="2" fillId="0" borderId="11" xfId="38" applyFont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2" fillId="0" borderId="40" xfId="38" applyFont="1" applyBorder="1" applyAlignment="1">
      <alignment horizontal="right"/>
    </xf>
    <xf numFmtId="43" fontId="2" fillId="0" borderId="33" xfId="38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3" fontId="2" fillId="0" borderId="13" xfId="38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" fillId="0" borderId="13" xfId="38" applyFont="1" applyBorder="1" applyAlignment="1">
      <alignment horizontal="right"/>
    </xf>
    <xf numFmtId="43" fontId="2" fillId="0" borderId="0" xfId="38" applyFont="1" applyBorder="1" applyAlignment="1">
      <alignment horizontal="right"/>
    </xf>
    <xf numFmtId="43" fontId="2" fillId="0" borderId="13" xfId="38" applyFont="1" applyBorder="1" applyAlignment="1">
      <alignment horizontal="right"/>
    </xf>
    <xf numFmtId="43" fontId="2" fillId="0" borderId="0" xfId="38" applyFont="1" applyBorder="1" applyAlignment="1">
      <alignment horizontal="right"/>
    </xf>
    <xf numFmtId="0" fontId="15" fillId="0" borderId="0" xfId="0" applyFont="1" applyAlignment="1">
      <alignment horizontal="left"/>
    </xf>
    <xf numFmtId="0" fontId="18" fillId="0" borderId="2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3" fontId="13" fillId="0" borderId="33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9" fontId="13" fillId="0" borderId="61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43" fontId="19" fillId="0" borderId="33" xfId="0" applyNumberFormat="1" applyFont="1" applyBorder="1" applyAlignment="1">
      <alignment horizontal="center"/>
    </xf>
    <xf numFmtId="43" fontId="19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19" fillId="0" borderId="66" xfId="0" applyNumberFormat="1" applyFont="1" applyBorder="1" applyAlignment="1">
      <alignment horizontal="center"/>
    </xf>
    <xf numFmtId="49" fontId="19" fillId="0" borderId="6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3" fontId="0" fillId="0" borderId="33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3" fontId="0" fillId="0" borderId="33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Normal="80" zoomScaleSheetLayoutView="100" workbookViewId="0" topLeftCell="A7">
      <selection activeCell="B11" sqref="B11:B18"/>
    </sheetView>
  </sheetViews>
  <sheetFormatPr defaultColWidth="9.140625" defaultRowHeight="21.75"/>
  <cols>
    <col min="1" max="2" width="17.7109375" style="171" customWidth="1"/>
    <col min="3" max="3" width="4.421875" style="93" customWidth="1"/>
    <col min="4" max="4" width="26.57421875" style="93" customWidth="1"/>
    <col min="5" max="5" width="13.421875" style="102" customWidth="1"/>
    <col min="6" max="6" width="8.7109375" style="105" customWidth="1"/>
    <col min="7" max="7" width="17.7109375" style="171" customWidth="1"/>
    <col min="8" max="8" width="9.140625" style="93" customWidth="1"/>
    <col min="9" max="9" width="13.8515625" style="171" bestFit="1" customWidth="1"/>
    <col min="10" max="10" width="13.57421875" style="171" bestFit="1" customWidth="1"/>
    <col min="11" max="12" width="12.7109375" style="171" bestFit="1" customWidth="1"/>
    <col min="13" max="13" width="13.421875" style="171" customWidth="1"/>
    <col min="14" max="14" width="12.7109375" style="93" bestFit="1" customWidth="1"/>
    <col min="15" max="16384" width="9.140625" style="93" customWidth="1"/>
  </cols>
  <sheetData>
    <row r="1" spans="1:13" s="112" customFormat="1" ht="29.25">
      <c r="A1" s="505" t="s">
        <v>0</v>
      </c>
      <c r="B1" s="505"/>
      <c r="C1" s="505"/>
      <c r="D1" s="505"/>
      <c r="E1" s="505"/>
      <c r="F1" s="505"/>
      <c r="G1" s="505"/>
      <c r="I1" s="202"/>
      <c r="J1" s="202"/>
      <c r="K1" s="202"/>
      <c r="L1" s="202"/>
      <c r="M1" s="202"/>
    </row>
    <row r="2" spans="1:13" s="112" customFormat="1" ht="29.25">
      <c r="A2" s="505" t="s">
        <v>243</v>
      </c>
      <c r="B2" s="505"/>
      <c r="C2" s="505"/>
      <c r="D2" s="505"/>
      <c r="E2" s="505"/>
      <c r="F2" s="505"/>
      <c r="G2" s="505"/>
      <c r="I2" s="202"/>
      <c r="J2" s="202"/>
      <c r="K2" s="202"/>
      <c r="L2" s="202"/>
      <c r="M2" s="202"/>
    </row>
    <row r="3" spans="1:13" s="112" customFormat="1" ht="29.25">
      <c r="A3" s="355"/>
      <c r="B3" s="355"/>
      <c r="C3" s="113"/>
      <c r="D3" s="113"/>
      <c r="E3" s="398"/>
      <c r="F3" s="114" t="s">
        <v>300</v>
      </c>
      <c r="G3" s="202"/>
      <c r="I3" s="202"/>
      <c r="J3" s="202"/>
      <c r="K3" s="202"/>
      <c r="L3" s="202"/>
      <c r="M3" s="202"/>
    </row>
    <row r="4" spans="1:7" ht="31.5">
      <c r="A4" s="506" t="s">
        <v>20</v>
      </c>
      <c r="B4" s="506"/>
      <c r="C4" s="506"/>
      <c r="D4" s="506"/>
      <c r="E4" s="506"/>
      <c r="F4" s="506"/>
      <c r="G4" s="506"/>
    </row>
    <row r="5" spans="1:13" s="112" customFormat="1" ht="30" thickBot="1">
      <c r="A5" s="356"/>
      <c r="B5" s="356"/>
      <c r="C5" s="115"/>
      <c r="D5" s="504" t="s">
        <v>337</v>
      </c>
      <c r="E5" s="504"/>
      <c r="F5" s="504"/>
      <c r="G5" s="504"/>
      <c r="I5" s="202"/>
      <c r="J5" s="202"/>
      <c r="K5" s="202"/>
      <c r="L5" s="202"/>
      <c r="M5" s="202"/>
    </row>
    <row r="6" spans="1:7" ht="24" thickTop="1">
      <c r="A6" s="507" t="s">
        <v>21</v>
      </c>
      <c r="B6" s="508"/>
      <c r="C6" s="509"/>
      <c r="D6" s="510"/>
      <c r="E6" s="388"/>
      <c r="F6" s="107"/>
      <c r="G6" s="369" t="s">
        <v>22</v>
      </c>
    </row>
    <row r="7" spans="1:7" ht="23.25">
      <c r="A7" s="373" t="s">
        <v>23</v>
      </c>
      <c r="B7" s="353" t="s">
        <v>24</v>
      </c>
      <c r="C7" s="499" t="s">
        <v>25</v>
      </c>
      <c r="D7" s="500"/>
      <c r="E7" s="501"/>
      <c r="F7" s="461" t="s">
        <v>26</v>
      </c>
      <c r="G7" s="370" t="s">
        <v>24</v>
      </c>
    </row>
    <row r="8" spans="1:7" ht="24" thickBot="1">
      <c r="A8" s="374" t="s">
        <v>27</v>
      </c>
      <c r="B8" s="354" t="s">
        <v>27</v>
      </c>
      <c r="C8" s="502"/>
      <c r="D8" s="503"/>
      <c r="E8" s="389"/>
      <c r="F8" s="462" t="s">
        <v>28</v>
      </c>
      <c r="G8" s="371" t="s">
        <v>27</v>
      </c>
    </row>
    <row r="9" spans="1:7" ht="24" thickTop="1">
      <c r="A9" s="357"/>
      <c r="B9" s="366">
        <v>9672404.92</v>
      </c>
      <c r="C9" s="364" t="s">
        <v>29</v>
      </c>
      <c r="D9" s="364"/>
      <c r="E9" s="108"/>
      <c r="F9" s="107"/>
      <c r="G9" s="238">
        <v>7818823.75</v>
      </c>
    </row>
    <row r="10" spans="1:7" ht="23.25">
      <c r="A10" s="358"/>
      <c r="B10" s="238"/>
      <c r="C10" s="365" t="s">
        <v>278</v>
      </c>
      <c r="D10" s="365"/>
      <c r="E10" s="109"/>
      <c r="F10" s="96"/>
      <c r="G10" s="238"/>
    </row>
    <row r="11" spans="1:7" ht="21" customHeight="1">
      <c r="A11" s="358">
        <v>116500</v>
      </c>
      <c r="B11" s="238">
        <v>29865.57</v>
      </c>
      <c r="D11" s="402" t="s">
        <v>30</v>
      </c>
      <c r="E11" s="100"/>
      <c r="F11" s="96" t="s">
        <v>164</v>
      </c>
      <c r="G11" s="367">
        <v>26894.65</v>
      </c>
    </row>
    <row r="12" spans="1:7" ht="23.25">
      <c r="A12" s="359">
        <v>87000</v>
      </c>
      <c r="B12" s="367">
        <v>28665</v>
      </c>
      <c r="D12" s="402" t="s">
        <v>31</v>
      </c>
      <c r="E12" s="100"/>
      <c r="F12" s="96" t="s">
        <v>165</v>
      </c>
      <c r="G12" s="367">
        <v>9075</v>
      </c>
    </row>
    <row r="13" spans="1:7" ht="23.25">
      <c r="A13" s="359">
        <v>25000</v>
      </c>
      <c r="B13" s="367">
        <v>0</v>
      </c>
      <c r="D13" s="402" t="s">
        <v>32</v>
      </c>
      <c r="E13" s="100"/>
      <c r="F13" s="96" t="s">
        <v>166</v>
      </c>
      <c r="G13" s="367">
        <v>0</v>
      </c>
    </row>
    <row r="14" spans="1:7" ht="23.25">
      <c r="A14" s="359">
        <v>230000</v>
      </c>
      <c r="B14" s="367">
        <v>111427</v>
      </c>
      <c r="D14" s="402" t="s">
        <v>33</v>
      </c>
      <c r="E14" s="100"/>
      <c r="F14" s="96" t="s">
        <v>167</v>
      </c>
      <c r="G14" s="367">
        <v>45123</v>
      </c>
    </row>
    <row r="15" spans="1:7" ht="23.25">
      <c r="A15" s="359">
        <v>55000</v>
      </c>
      <c r="B15" s="367">
        <v>0</v>
      </c>
      <c r="D15" s="402" t="s">
        <v>34</v>
      </c>
      <c r="E15" s="100"/>
      <c r="F15" s="96" t="s">
        <v>168</v>
      </c>
      <c r="G15" s="368">
        <v>0</v>
      </c>
    </row>
    <row r="16" spans="1:7" ht="23.25">
      <c r="A16" s="360">
        <v>1500</v>
      </c>
      <c r="B16" s="368">
        <v>1170</v>
      </c>
      <c r="D16" s="402" t="s">
        <v>35</v>
      </c>
      <c r="E16" s="100"/>
      <c r="F16" s="96" t="s">
        <v>169</v>
      </c>
      <c r="G16" s="368">
        <v>0</v>
      </c>
    </row>
    <row r="17" spans="1:7" ht="23.25">
      <c r="A17" s="360">
        <v>10361500</v>
      </c>
      <c r="B17" s="368">
        <v>2979860.22</v>
      </c>
      <c r="D17" s="402" t="s">
        <v>36</v>
      </c>
      <c r="E17" s="100"/>
      <c r="F17" s="96" t="s">
        <v>170</v>
      </c>
      <c r="G17" s="368">
        <v>789890.09</v>
      </c>
    </row>
    <row r="18" spans="1:7" ht="23.25">
      <c r="A18" s="359">
        <v>6900000</v>
      </c>
      <c r="B18" s="367">
        <v>2047764</v>
      </c>
      <c r="D18" s="402" t="s">
        <v>129</v>
      </c>
      <c r="E18" s="100"/>
      <c r="F18" s="96" t="s">
        <v>171</v>
      </c>
      <c r="G18" s="372">
        <v>0</v>
      </c>
    </row>
    <row r="19" spans="1:7" ht="24" thickBot="1">
      <c r="A19" s="234">
        <f>SUM(A11:A18)</f>
        <v>17776500</v>
      </c>
      <c r="B19" s="234">
        <f>SUM(B11:B18)</f>
        <v>5198751.79</v>
      </c>
      <c r="F19" s="96"/>
      <c r="G19" s="234">
        <f>SUM(G11:G18)</f>
        <v>870982.74</v>
      </c>
    </row>
    <row r="20" spans="1:7" ht="24" thickTop="1">
      <c r="A20" s="361"/>
      <c r="B20" s="367">
        <v>2404166</v>
      </c>
      <c r="D20" s="402" t="s">
        <v>176</v>
      </c>
      <c r="E20" s="100"/>
      <c r="F20" s="96" t="s">
        <v>172</v>
      </c>
      <c r="G20" s="367">
        <v>0</v>
      </c>
    </row>
    <row r="21" spans="1:7" ht="23.25">
      <c r="A21" s="361"/>
      <c r="B21" s="238">
        <v>132997.17</v>
      </c>
      <c r="D21" s="402" t="s">
        <v>307</v>
      </c>
      <c r="E21" s="100"/>
      <c r="F21" s="96" t="s">
        <v>159</v>
      </c>
      <c r="G21" s="367">
        <v>1067.85</v>
      </c>
    </row>
    <row r="22" spans="1:7" ht="23.25">
      <c r="A22" s="361"/>
      <c r="B22" s="367">
        <v>0</v>
      </c>
      <c r="D22" s="402" t="s">
        <v>39</v>
      </c>
      <c r="E22" s="100"/>
      <c r="F22" s="96" t="s">
        <v>177</v>
      </c>
      <c r="G22" s="367">
        <v>0</v>
      </c>
    </row>
    <row r="23" spans="1:7" ht="23.25">
      <c r="A23" s="361"/>
      <c r="B23" s="367">
        <v>0</v>
      </c>
      <c r="D23" s="402" t="s">
        <v>241</v>
      </c>
      <c r="E23" s="100"/>
      <c r="F23" s="96" t="s">
        <v>240</v>
      </c>
      <c r="G23" s="367">
        <v>0</v>
      </c>
    </row>
    <row r="24" spans="1:7" ht="23.25">
      <c r="A24" s="361"/>
      <c r="B24" s="367">
        <v>1000</v>
      </c>
      <c r="D24" s="402" t="s">
        <v>128</v>
      </c>
      <c r="E24" s="100"/>
      <c r="F24" s="96" t="s">
        <v>206</v>
      </c>
      <c r="G24" s="367">
        <v>0</v>
      </c>
    </row>
    <row r="25" spans="1:7" ht="23.25">
      <c r="A25" s="361"/>
      <c r="B25" s="367">
        <v>0</v>
      </c>
      <c r="D25" s="402" t="s">
        <v>280</v>
      </c>
      <c r="E25" s="100"/>
      <c r="F25" s="96" t="s">
        <v>136</v>
      </c>
      <c r="G25" s="367">
        <v>0</v>
      </c>
    </row>
    <row r="26" spans="1:7" ht="23.25">
      <c r="A26" s="361"/>
      <c r="B26" s="367">
        <v>0</v>
      </c>
      <c r="D26" s="402" t="s">
        <v>108</v>
      </c>
      <c r="E26" s="100"/>
      <c r="F26" s="96" t="s">
        <v>178</v>
      </c>
      <c r="G26" s="367">
        <v>0</v>
      </c>
    </row>
    <row r="27" spans="1:7" ht="23.25">
      <c r="A27" s="361"/>
      <c r="B27" s="367">
        <v>0</v>
      </c>
      <c r="D27" s="402" t="s">
        <v>279</v>
      </c>
      <c r="E27" s="100"/>
      <c r="F27" s="96" t="s">
        <v>135</v>
      </c>
      <c r="G27" s="367">
        <v>0</v>
      </c>
    </row>
    <row r="28" spans="1:7" ht="23.25">
      <c r="A28" s="361"/>
      <c r="B28" s="367">
        <v>0</v>
      </c>
      <c r="D28" s="402" t="s">
        <v>40</v>
      </c>
      <c r="E28" s="100"/>
      <c r="F28" s="96" t="s">
        <v>156</v>
      </c>
      <c r="G28" s="367">
        <v>0</v>
      </c>
    </row>
    <row r="29" spans="1:7" ht="23.25">
      <c r="A29" s="361"/>
      <c r="B29" s="367"/>
      <c r="D29" s="402"/>
      <c r="F29" s="96"/>
      <c r="G29" s="367"/>
    </row>
    <row r="30" spans="1:7" ht="23.25">
      <c r="A30" s="361"/>
      <c r="B30" s="367"/>
      <c r="D30" s="402"/>
      <c r="E30" s="100"/>
      <c r="F30" s="96"/>
      <c r="G30" s="367"/>
    </row>
    <row r="31" spans="1:7" ht="23.25">
      <c r="A31" s="361"/>
      <c r="B31" s="367"/>
      <c r="D31" s="402"/>
      <c r="F31" s="96"/>
      <c r="G31" s="367"/>
    </row>
    <row r="32" spans="1:9" ht="24" thickBot="1">
      <c r="A32" s="361"/>
      <c r="B32" s="234">
        <f>SUM(B20:B31)</f>
        <v>2538163.17</v>
      </c>
      <c r="F32" s="383"/>
      <c r="G32" s="234">
        <f>SUM(G20:G31)</f>
        <v>1067.85</v>
      </c>
      <c r="I32" s="375"/>
    </row>
    <row r="33" spans="1:10" ht="24.75" thickBot="1" thickTop="1">
      <c r="A33" s="361"/>
      <c r="B33" s="234">
        <f>B19+B32</f>
        <v>7736914.96</v>
      </c>
      <c r="C33" s="500" t="s">
        <v>41</v>
      </c>
      <c r="D33" s="500"/>
      <c r="E33" s="95"/>
      <c r="F33" s="384"/>
      <c r="G33" s="234">
        <f>G19+G32</f>
        <v>872050.59</v>
      </c>
      <c r="I33" s="375"/>
      <c r="J33" s="397"/>
    </row>
    <row r="34" spans="1:10" ht="24" thickTop="1">
      <c r="A34" s="361"/>
      <c r="B34" s="122"/>
      <c r="C34" s="95"/>
      <c r="D34" s="95"/>
      <c r="E34" s="95"/>
      <c r="F34" s="104"/>
      <c r="G34" s="122"/>
      <c r="I34" s="375"/>
      <c r="J34" s="397"/>
    </row>
    <row r="35" spans="1:10" ht="23.25">
      <c r="A35" s="361"/>
      <c r="B35" s="122"/>
      <c r="C35" s="95"/>
      <c r="D35" s="95"/>
      <c r="E35" s="95"/>
      <c r="F35" s="104"/>
      <c r="G35" s="122"/>
      <c r="I35" s="375"/>
      <c r="J35" s="397"/>
    </row>
    <row r="36" spans="1:7" ht="23.25">
      <c r="A36" s="513" t="s">
        <v>71</v>
      </c>
      <c r="B36" s="513"/>
      <c r="C36" s="513"/>
      <c r="D36" s="513"/>
      <c r="E36" s="513"/>
      <c r="F36" s="513"/>
      <c r="G36" s="513"/>
    </row>
    <row r="37" spans="1:7" ht="23.25">
      <c r="A37" s="511" t="s">
        <v>21</v>
      </c>
      <c r="B37" s="512"/>
      <c r="C37" s="516"/>
      <c r="D37" s="517"/>
      <c r="E37" s="390"/>
      <c r="F37" s="94"/>
      <c r="G37" s="379" t="s">
        <v>22</v>
      </c>
    </row>
    <row r="38" spans="1:7" ht="23.25">
      <c r="A38" s="373" t="s">
        <v>23</v>
      </c>
      <c r="B38" s="353" t="s">
        <v>24</v>
      </c>
      <c r="C38" s="499" t="s">
        <v>25</v>
      </c>
      <c r="D38" s="500"/>
      <c r="E38" s="501"/>
      <c r="F38" s="461" t="s">
        <v>26</v>
      </c>
      <c r="G38" s="370" t="s">
        <v>24</v>
      </c>
    </row>
    <row r="39" spans="1:14" ht="21" customHeight="1">
      <c r="A39" s="376" t="s">
        <v>27</v>
      </c>
      <c r="B39" s="352" t="s">
        <v>27</v>
      </c>
      <c r="C39" s="514"/>
      <c r="D39" s="515"/>
      <c r="E39" s="387"/>
      <c r="F39" s="463" t="s">
        <v>28</v>
      </c>
      <c r="G39" s="380" t="s">
        <v>27</v>
      </c>
      <c r="J39" s="203"/>
      <c r="K39" s="203"/>
      <c r="M39" s="203"/>
      <c r="N39" s="203"/>
    </row>
    <row r="40" spans="1:14" ht="23.25">
      <c r="A40" s="377"/>
      <c r="B40" s="362"/>
      <c r="C40" s="99" t="s">
        <v>42</v>
      </c>
      <c r="D40" s="102"/>
      <c r="E40" s="100"/>
      <c r="F40" s="96"/>
      <c r="G40" s="381"/>
      <c r="I40" s="203"/>
      <c r="J40" s="203"/>
      <c r="K40" s="203"/>
      <c r="L40" s="203"/>
      <c r="M40" s="203"/>
      <c r="N40" s="203"/>
    </row>
    <row r="41" spans="1:14" ht="22.5" customHeight="1">
      <c r="A41" s="378">
        <f>1421650-186000-100000</f>
        <v>1135650</v>
      </c>
      <c r="B41" s="359">
        <v>217789</v>
      </c>
      <c r="C41" s="99"/>
      <c r="D41" s="402" t="s">
        <v>43</v>
      </c>
      <c r="E41" s="100"/>
      <c r="F41" s="96" t="s">
        <v>173</v>
      </c>
      <c r="G41" s="367">
        <v>45024</v>
      </c>
      <c r="N41" s="171"/>
    </row>
    <row r="42" spans="1:14" ht="22.5" customHeight="1">
      <c r="A42" s="378">
        <v>1796640</v>
      </c>
      <c r="B42" s="359">
        <v>855300</v>
      </c>
      <c r="C42" s="98"/>
      <c r="D42" s="402" t="s">
        <v>200</v>
      </c>
      <c r="E42" s="100"/>
      <c r="F42" s="96" t="s">
        <v>202</v>
      </c>
      <c r="G42" s="367">
        <v>171060</v>
      </c>
      <c r="N42" s="171"/>
    </row>
    <row r="43" spans="1:14" ht="22.5" customHeight="1">
      <c r="A43" s="378">
        <f>3911280</f>
        <v>3911280</v>
      </c>
      <c r="B43" s="359">
        <v>1578574</v>
      </c>
      <c r="C43" s="98"/>
      <c r="D43" s="402" t="s">
        <v>201</v>
      </c>
      <c r="E43" s="100"/>
      <c r="F43" s="96" t="s">
        <v>203</v>
      </c>
      <c r="G43" s="367">
        <v>320210</v>
      </c>
      <c r="N43" s="171"/>
    </row>
    <row r="44" spans="1:14" ht="22.5" customHeight="1">
      <c r="A44" s="378">
        <f>1469200-11000-30000-14000</f>
        <v>1414200</v>
      </c>
      <c r="B44" s="359">
        <v>280293</v>
      </c>
      <c r="C44" s="98"/>
      <c r="D44" s="402" t="s">
        <v>44</v>
      </c>
      <c r="E44" s="100"/>
      <c r="F44" s="96" t="s">
        <v>151</v>
      </c>
      <c r="G44" s="367">
        <v>37844</v>
      </c>
      <c r="N44" s="171"/>
    </row>
    <row r="45" spans="1:14" ht="22.5" customHeight="1">
      <c r="A45" s="378">
        <f>2225510+10000+5000+200000-29000+15000-4000+50700-6700</f>
        <v>2466510</v>
      </c>
      <c r="B45" s="359">
        <v>668270.46</v>
      </c>
      <c r="C45" s="98"/>
      <c r="D45" s="402" t="s">
        <v>45</v>
      </c>
      <c r="E45" s="100"/>
      <c r="F45" s="96" t="s">
        <v>152</v>
      </c>
      <c r="G45" s="367">
        <v>52945.58</v>
      </c>
      <c r="N45" s="171"/>
    </row>
    <row r="46" spans="1:14" ht="22.5" customHeight="1">
      <c r="A46" s="238">
        <f>1793720+100000</f>
        <v>1893720</v>
      </c>
      <c r="B46" s="359">
        <v>434290.8</v>
      </c>
      <c r="C46" s="98"/>
      <c r="D46" s="402" t="s">
        <v>46</v>
      </c>
      <c r="E46" s="100"/>
      <c r="F46" s="96" t="s">
        <v>153</v>
      </c>
      <c r="G46" s="367">
        <v>107944</v>
      </c>
      <c r="N46" s="171"/>
    </row>
    <row r="47" spans="1:14" ht="22.5" customHeight="1">
      <c r="A47" s="238">
        <v>423000</v>
      </c>
      <c r="B47" s="359">
        <v>158132.26</v>
      </c>
      <c r="C47" s="98"/>
      <c r="D47" s="402" t="s">
        <v>64</v>
      </c>
      <c r="E47" s="100"/>
      <c r="F47" s="96" t="s">
        <v>154</v>
      </c>
      <c r="G47" s="367">
        <v>31728.8</v>
      </c>
      <c r="N47" s="171"/>
    </row>
    <row r="48" spans="1:14" ht="22.5" customHeight="1">
      <c r="A48" s="238">
        <v>734000</v>
      </c>
      <c r="B48" s="359">
        <v>57848.5</v>
      </c>
      <c r="C48" s="98"/>
      <c r="D48" s="402" t="s">
        <v>47</v>
      </c>
      <c r="E48" s="100"/>
      <c r="F48" s="101">
        <v>541000</v>
      </c>
      <c r="G48" s="367">
        <v>0</v>
      </c>
      <c r="N48" s="171"/>
    </row>
    <row r="49" spans="1:14" ht="22.5" customHeight="1">
      <c r="A49" s="238">
        <v>2970100</v>
      </c>
      <c r="B49" s="359">
        <v>0</v>
      </c>
      <c r="C49" s="98"/>
      <c r="D49" s="402" t="s">
        <v>48</v>
      </c>
      <c r="E49" s="100"/>
      <c r="F49" s="96" t="s">
        <v>155</v>
      </c>
      <c r="G49" s="367">
        <v>0</v>
      </c>
      <c r="N49" s="171"/>
    </row>
    <row r="50" spans="1:14" ht="22.5" customHeight="1">
      <c r="A50" s="238">
        <v>70000</v>
      </c>
      <c r="B50" s="359">
        <v>3500</v>
      </c>
      <c r="C50" s="98"/>
      <c r="D50" s="402" t="s">
        <v>66</v>
      </c>
      <c r="E50" s="100"/>
      <c r="F50" s="96" t="s">
        <v>175</v>
      </c>
      <c r="G50" s="367">
        <v>0</v>
      </c>
      <c r="N50" s="171"/>
    </row>
    <row r="51" spans="1:14" ht="22.5" customHeight="1">
      <c r="A51" s="238">
        <v>961400</v>
      </c>
      <c r="B51" s="386">
        <v>425800</v>
      </c>
      <c r="C51" s="102"/>
      <c r="D51" s="402" t="s">
        <v>37</v>
      </c>
      <c r="F51" s="96" t="s">
        <v>174</v>
      </c>
      <c r="G51" s="367">
        <v>15000</v>
      </c>
      <c r="N51" s="171"/>
    </row>
    <row r="52" spans="1:14" ht="22.5" customHeight="1" thickBot="1">
      <c r="A52" s="234">
        <f>SUM(A41:A51)</f>
        <v>17776500</v>
      </c>
      <c r="B52" s="234">
        <f>SUM(B41:B51)</f>
        <v>4679798.02</v>
      </c>
      <c r="C52" s="102"/>
      <c r="F52" s="96"/>
      <c r="G52" s="234">
        <f>SUM(G41:G51)</f>
        <v>781756.38</v>
      </c>
      <c r="N52" s="229"/>
    </row>
    <row r="53" spans="1:7" ht="22.5" customHeight="1" thickTop="1">
      <c r="A53" s="122"/>
      <c r="B53" s="367">
        <v>154046</v>
      </c>
      <c r="C53" s="102"/>
      <c r="D53" s="402" t="s">
        <v>176</v>
      </c>
      <c r="E53" s="100"/>
      <c r="F53" s="96" t="s">
        <v>172</v>
      </c>
      <c r="G53" s="367">
        <v>52046</v>
      </c>
    </row>
    <row r="54" spans="1:7" ht="22.5" customHeight="1">
      <c r="A54" s="361"/>
      <c r="B54" s="367">
        <v>41355.03</v>
      </c>
      <c r="C54" s="102"/>
      <c r="D54" s="402" t="s">
        <v>331</v>
      </c>
      <c r="E54" s="100"/>
      <c r="F54" s="96" t="s">
        <v>159</v>
      </c>
      <c r="G54" s="367">
        <v>1780.93</v>
      </c>
    </row>
    <row r="55" spans="1:7" ht="22.5" customHeight="1">
      <c r="A55" s="361"/>
      <c r="B55" s="367">
        <v>17000</v>
      </c>
      <c r="C55" s="102"/>
      <c r="D55" s="402" t="s">
        <v>279</v>
      </c>
      <c r="E55" s="100"/>
      <c r="F55" s="96" t="s">
        <v>135</v>
      </c>
      <c r="G55" s="367">
        <v>0</v>
      </c>
    </row>
    <row r="56" spans="1:7" ht="22.5" customHeight="1">
      <c r="A56" s="361"/>
      <c r="B56" s="367">
        <v>1287773.8</v>
      </c>
      <c r="C56" s="102"/>
      <c r="D56" s="402" t="s">
        <v>280</v>
      </c>
      <c r="E56" s="100"/>
      <c r="F56" s="96" t="s">
        <v>136</v>
      </c>
      <c r="G56" s="367">
        <v>0</v>
      </c>
    </row>
    <row r="57" spans="1:7" ht="22.5" customHeight="1">
      <c r="A57" s="361"/>
      <c r="B57" s="367">
        <v>912281</v>
      </c>
      <c r="C57" s="102"/>
      <c r="D57" s="402" t="s">
        <v>312</v>
      </c>
      <c r="F57" s="96" t="s">
        <v>178</v>
      </c>
      <c r="G57" s="367">
        <v>0</v>
      </c>
    </row>
    <row r="58" spans="1:7" ht="22.5" customHeight="1">
      <c r="A58" s="361"/>
      <c r="B58" s="367">
        <v>958575</v>
      </c>
      <c r="C58" s="102"/>
      <c r="D58" s="402" t="s">
        <v>40</v>
      </c>
      <c r="F58" s="96" t="s">
        <v>156</v>
      </c>
      <c r="G58" s="367">
        <v>0</v>
      </c>
    </row>
    <row r="59" spans="1:7" ht="22.5" customHeight="1">
      <c r="A59" s="361"/>
      <c r="B59" s="367">
        <v>129154</v>
      </c>
      <c r="C59" s="102"/>
      <c r="D59" s="402" t="s">
        <v>49</v>
      </c>
      <c r="F59" s="96" t="s">
        <v>177</v>
      </c>
      <c r="G59" s="367">
        <v>87954</v>
      </c>
    </row>
    <row r="60" spans="1:7" ht="22.5" customHeight="1">
      <c r="A60" s="361"/>
      <c r="B60" s="367">
        <v>58500</v>
      </c>
      <c r="C60" s="102"/>
      <c r="D60" s="402" t="s">
        <v>241</v>
      </c>
      <c r="F60" s="96" t="s">
        <v>240</v>
      </c>
      <c r="G60" s="367">
        <v>0</v>
      </c>
    </row>
    <row r="61" spans="1:7" ht="22.5" customHeight="1">
      <c r="A61" s="361"/>
      <c r="B61" s="367">
        <v>1935500</v>
      </c>
      <c r="C61" s="102"/>
      <c r="D61" s="402" t="s">
        <v>125</v>
      </c>
      <c r="F61" s="96" t="s">
        <v>206</v>
      </c>
      <c r="G61" s="367">
        <v>532000</v>
      </c>
    </row>
    <row r="62" spans="1:7" ht="22.5" customHeight="1">
      <c r="A62" s="361"/>
      <c r="B62" s="367"/>
      <c r="C62" s="102"/>
      <c r="D62" s="102"/>
      <c r="F62" s="97"/>
      <c r="G62" s="367"/>
    </row>
    <row r="63" spans="1:7" ht="22.5" customHeight="1" thickBot="1">
      <c r="A63" s="361"/>
      <c r="B63" s="234">
        <f>SUM(B53:B62)</f>
        <v>5494184.83</v>
      </c>
      <c r="G63" s="234">
        <f>SUM(G53:G62)</f>
        <v>673780.9299999999</v>
      </c>
    </row>
    <row r="64" spans="1:7" ht="22.5" customHeight="1" thickBot="1" thickTop="1">
      <c r="A64" s="361"/>
      <c r="B64" s="234">
        <f>B52+B63</f>
        <v>10173982.85</v>
      </c>
      <c r="C64" s="499" t="s">
        <v>50</v>
      </c>
      <c r="D64" s="500"/>
      <c r="E64" s="500"/>
      <c r="F64" s="501"/>
      <c r="G64" s="234">
        <f>G52+G63</f>
        <v>1455537.31</v>
      </c>
    </row>
    <row r="65" spans="1:7" ht="22.5" customHeight="1" thickTop="1">
      <c r="A65" s="361"/>
      <c r="B65" s="238"/>
      <c r="C65" s="499" t="s">
        <v>51</v>
      </c>
      <c r="D65" s="500"/>
      <c r="E65" s="500"/>
      <c r="F65" s="501"/>
      <c r="G65" s="396"/>
    </row>
    <row r="66" spans="1:7" ht="23.25">
      <c r="A66" s="361"/>
      <c r="B66" s="358"/>
      <c r="C66" s="499" t="s">
        <v>52</v>
      </c>
      <c r="D66" s="500"/>
      <c r="E66" s="500"/>
      <c r="F66" s="501"/>
      <c r="G66" s="238"/>
    </row>
    <row r="67" spans="2:7" ht="23.25">
      <c r="B67" s="491">
        <f>B33-B64</f>
        <v>-2437067.8899999997</v>
      </c>
      <c r="C67" s="499" t="s">
        <v>53</v>
      </c>
      <c r="D67" s="500"/>
      <c r="E67" s="500"/>
      <c r="F67" s="501"/>
      <c r="G67" s="491">
        <f>G33-G64</f>
        <v>-583486.7200000001</v>
      </c>
    </row>
    <row r="68" spans="2:7" ht="22.5" customHeight="1">
      <c r="B68" s="363">
        <f>B9+B67</f>
        <v>7235337.03</v>
      </c>
      <c r="C68" s="499" t="s">
        <v>54</v>
      </c>
      <c r="D68" s="500"/>
      <c r="E68" s="500"/>
      <c r="F68" s="501"/>
      <c r="G68" s="382">
        <f>G9+G67</f>
        <v>7235337.03</v>
      </c>
    </row>
    <row r="69" spans="2:7" ht="23.25">
      <c r="B69" s="122"/>
      <c r="C69" s="95"/>
      <c r="D69" s="95"/>
      <c r="E69" s="95"/>
      <c r="F69" s="95"/>
      <c r="G69" s="122"/>
    </row>
    <row r="70" spans="2:7" ht="22.5" customHeight="1">
      <c r="B70" s="122"/>
      <c r="C70" s="95"/>
      <c r="D70" s="95"/>
      <c r="E70" s="95"/>
      <c r="F70" s="95"/>
      <c r="G70" s="122"/>
    </row>
    <row r="71" spans="1:7" ht="23.25">
      <c r="A71" s="498" t="s">
        <v>117</v>
      </c>
      <c r="B71" s="498"/>
      <c r="C71" s="498" t="s">
        <v>117</v>
      </c>
      <c r="D71" s="498"/>
      <c r="E71" s="498" t="s">
        <v>117</v>
      </c>
      <c r="F71" s="498"/>
      <c r="G71" s="498"/>
    </row>
    <row r="72" spans="1:7" ht="23.25">
      <c r="A72" s="498" t="s">
        <v>269</v>
      </c>
      <c r="B72" s="498"/>
      <c r="C72" s="498" t="s">
        <v>289</v>
      </c>
      <c r="D72" s="498"/>
      <c r="E72" s="498" t="s">
        <v>254</v>
      </c>
      <c r="F72" s="498"/>
      <c r="G72" s="498"/>
    </row>
    <row r="73" spans="1:7" ht="23.25">
      <c r="A73" s="498" t="s">
        <v>96</v>
      </c>
      <c r="B73" s="498"/>
      <c r="C73" s="498" t="s">
        <v>253</v>
      </c>
      <c r="D73" s="498"/>
      <c r="E73" s="498" t="s">
        <v>255</v>
      </c>
      <c r="F73" s="498"/>
      <c r="G73" s="498"/>
    </row>
  </sheetData>
  <sheetProtection/>
  <mergeCells count="28">
    <mergeCell ref="C67:F67"/>
    <mergeCell ref="C65:F65"/>
    <mergeCell ref="C64:F64"/>
    <mergeCell ref="A37:B37"/>
    <mergeCell ref="A36:G36"/>
    <mergeCell ref="C39:D39"/>
    <mergeCell ref="C38:E38"/>
    <mergeCell ref="C37:D37"/>
    <mergeCell ref="C66:F66"/>
    <mergeCell ref="C8:D8"/>
    <mergeCell ref="D5:G5"/>
    <mergeCell ref="C33:D33"/>
    <mergeCell ref="C7:E7"/>
    <mergeCell ref="A1:G1"/>
    <mergeCell ref="A2:G2"/>
    <mergeCell ref="A4:G4"/>
    <mergeCell ref="A6:B6"/>
    <mergeCell ref="C6:D6"/>
    <mergeCell ref="A73:B73"/>
    <mergeCell ref="C71:D71"/>
    <mergeCell ref="C72:D72"/>
    <mergeCell ref="C68:F68"/>
    <mergeCell ref="E71:G71"/>
    <mergeCell ref="E72:G72"/>
    <mergeCell ref="E73:G73"/>
    <mergeCell ref="A71:B71"/>
    <mergeCell ref="C73:D73"/>
    <mergeCell ref="A72:B72"/>
  </mergeCells>
  <printOptions/>
  <pageMargins left="0.25" right="0" top="0.25" bottom="0.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SheetLayoutView="100" zoomScalePageLayoutView="0" workbookViewId="0" topLeftCell="G124">
      <selection activeCell="P140" sqref="P140"/>
    </sheetView>
  </sheetViews>
  <sheetFormatPr defaultColWidth="9.140625" defaultRowHeight="21.75"/>
  <cols>
    <col min="1" max="1" width="21.421875" style="127" customWidth="1"/>
    <col min="2" max="2" width="11.140625" style="127" bestFit="1" customWidth="1"/>
    <col min="3" max="3" width="11.140625" style="127" customWidth="1"/>
    <col min="4" max="4" width="11.140625" style="127" bestFit="1" customWidth="1"/>
    <col min="5" max="5" width="9.8515625" style="127" bestFit="1" customWidth="1"/>
    <col min="6" max="6" width="11.140625" style="127" bestFit="1" customWidth="1"/>
    <col min="7" max="7" width="9.8515625" style="127" bestFit="1" customWidth="1"/>
    <col min="8" max="8" width="9.00390625" style="127" bestFit="1" customWidth="1"/>
    <col min="9" max="10" width="11.140625" style="127" bestFit="1" customWidth="1"/>
    <col min="11" max="11" width="9.00390625" style="127" bestFit="1" customWidth="1"/>
    <col min="12" max="12" width="9.8515625" style="127" customWidth="1"/>
    <col min="13" max="13" width="9.8515625" style="127" bestFit="1" customWidth="1"/>
    <col min="14" max="14" width="10.00390625" style="127" bestFit="1" customWidth="1"/>
    <col min="15" max="16" width="9.8515625" style="127" bestFit="1" customWidth="1"/>
    <col min="17" max="17" width="11.140625" style="127" bestFit="1" customWidth="1"/>
    <col min="18" max="18" width="12.00390625" style="127" bestFit="1" customWidth="1"/>
    <col min="19" max="16384" width="9.140625" style="127" customWidth="1"/>
  </cols>
  <sheetData>
    <row r="1" spans="1:18" ht="23.25">
      <c r="A1" s="582" t="s">
        <v>12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</row>
    <row r="2" spans="1:18" ht="23.25">
      <c r="A2" s="582" t="s">
        <v>99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</row>
    <row r="3" spans="1:18" ht="24" thickBot="1">
      <c r="A3" s="583" t="s">
        <v>337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4" spans="1:18" s="133" customFormat="1" ht="21" customHeight="1">
      <c r="A4" s="128" t="s">
        <v>14</v>
      </c>
      <c r="B4" s="576" t="s">
        <v>78</v>
      </c>
      <c r="C4" s="577"/>
      <c r="D4" s="578"/>
      <c r="E4" s="490" t="s">
        <v>81</v>
      </c>
      <c r="F4" s="490" t="s">
        <v>87</v>
      </c>
      <c r="G4" s="129" t="s">
        <v>88</v>
      </c>
      <c r="H4" s="130" t="s">
        <v>91</v>
      </c>
      <c r="I4" s="576" t="s">
        <v>82</v>
      </c>
      <c r="J4" s="578"/>
      <c r="K4" s="131" t="s">
        <v>92</v>
      </c>
      <c r="L4" s="576" t="s">
        <v>83</v>
      </c>
      <c r="M4" s="577"/>
      <c r="N4" s="578"/>
      <c r="O4" s="131" t="s">
        <v>95</v>
      </c>
      <c r="P4" s="131" t="s">
        <v>111</v>
      </c>
      <c r="Q4" s="129" t="s">
        <v>76</v>
      </c>
      <c r="R4" s="132" t="s">
        <v>15</v>
      </c>
    </row>
    <row r="5" spans="1:18" s="133" customFormat="1" ht="21" customHeight="1" thickBot="1">
      <c r="A5" s="134" t="s">
        <v>16</v>
      </c>
      <c r="B5" s="136" t="s">
        <v>79</v>
      </c>
      <c r="C5" s="137" t="s">
        <v>323</v>
      </c>
      <c r="D5" s="137" t="s">
        <v>80</v>
      </c>
      <c r="E5" s="135" t="s">
        <v>72</v>
      </c>
      <c r="F5" s="136" t="s">
        <v>106</v>
      </c>
      <c r="G5" s="136" t="s">
        <v>89</v>
      </c>
      <c r="H5" s="139" t="s">
        <v>263</v>
      </c>
      <c r="I5" s="135" t="s">
        <v>74</v>
      </c>
      <c r="J5" s="135" t="s">
        <v>75</v>
      </c>
      <c r="K5" s="140" t="s">
        <v>262</v>
      </c>
      <c r="L5" s="423" t="s">
        <v>127</v>
      </c>
      <c r="M5" s="137" t="s">
        <v>84</v>
      </c>
      <c r="N5" s="138" t="s">
        <v>85</v>
      </c>
      <c r="O5" s="140" t="s">
        <v>94</v>
      </c>
      <c r="P5" s="140" t="s">
        <v>112</v>
      </c>
      <c r="Q5" s="135" t="s">
        <v>77</v>
      </c>
      <c r="R5" s="141"/>
    </row>
    <row r="6" spans="1:18" s="147" customFormat="1" ht="21" customHeight="1">
      <c r="A6" s="142" t="s">
        <v>199</v>
      </c>
      <c r="B6" s="143"/>
      <c r="C6" s="144"/>
      <c r="D6" s="144"/>
      <c r="E6" s="143"/>
      <c r="F6" s="144"/>
      <c r="G6" s="144"/>
      <c r="H6" s="145"/>
      <c r="I6" s="143"/>
      <c r="J6" s="143"/>
      <c r="K6" s="146"/>
      <c r="L6" s="424"/>
      <c r="M6" s="143"/>
      <c r="N6" s="145"/>
      <c r="O6" s="146"/>
      <c r="P6" s="146"/>
      <c r="Q6" s="143"/>
      <c r="R6" s="146"/>
    </row>
    <row r="7" spans="1:18" s="147" customFormat="1" ht="21" customHeight="1">
      <c r="A7" s="148" t="s">
        <v>134</v>
      </c>
      <c r="B7" s="150">
        <v>0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f>180000-44024</f>
        <v>135976</v>
      </c>
      <c r="R7" s="150">
        <f aca="true" t="shared" si="0" ref="R7:R14">SUM(B7:Q7)</f>
        <v>135976</v>
      </c>
    </row>
    <row r="8" spans="1:18" s="147" customFormat="1" ht="21" customHeight="1">
      <c r="A8" s="148" t="s">
        <v>195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f t="shared" si="0"/>
        <v>0</v>
      </c>
    </row>
    <row r="9" spans="1:18" s="147" customFormat="1" ht="21" customHeight="1">
      <c r="A9" s="148" t="s">
        <v>196</v>
      </c>
      <c r="B9" s="150">
        <v>0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f>186000-186000</f>
        <v>0</v>
      </c>
      <c r="R9" s="150">
        <f t="shared" si="0"/>
        <v>0</v>
      </c>
    </row>
    <row r="10" spans="1:18" s="147" customFormat="1" ht="21" customHeight="1">
      <c r="A10" s="148" t="s">
        <v>264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f>30000-2000-5500-2500</f>
        <v>20000</v>
      </c>
      <c r="R10" s="150">
        <f t="shared" si="0"/>
        <v>20000</v>
      </c>
    </row>
    <row r="11" spans="1:18" s="147" customFormat="1" ht="21" customHeight="1">
      <c r="A11" s="148" t="s">
        <v>237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f>785885-100000</f>
        <v>685885</v>
      </c>
      <c r="R11" s="150">
        <f t="shared" si="0"/>
        <v>685885</v>
      </c>
    </row>
    <row r="12" spans="1:18" s="147" customFormat="1" ht="21" customHeight="1">
      <c r="A12" s="148" t="s">
        <v>197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f>70000+61000-61000-25500</f>
        <v>44500</v>
      </c>
      <c r="R12" s="150">
        <f t="shared" si="0"/>
        <v>44500</v>
      </c>
    </row>
    <row r="13" spans="1:18" s="147" customFormat="1" ht="21" customHeight="1">
      <c r="A13" s="148" t="s">
        <v>198</v>
      </c>
      <c r="B13" s="150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f>108765-108765</f>
        <v>0</v>
      </c>
      <c r="R13" s="150">
        <f t="shared" si="0"/>
        <v>0</v>
      </c>
    </row>
    <row r="14" spans="1:18" s="153" customFormat="1" ht="21" customHeight="1">
      <c r="A14" s="151" t="s">
        <v>17</v>
      </c>
      <c r="B14" s="152">
        <f aca="true" t="shared" si="1" ref="B14:Q14">SUM(B7:B13)</f>
        <v>0</v>
      </c>
      <c r="C14" s="152">
        <f t="shared" si="1"/>
        <v>0</v>
      </c>
      <c r="D14" s="152">
        <f t="shared" si="1"/>
        <v>0</v>
      </c>
      <c r="E14" s="152">
        <f t="shared" si="1"/>
        <v>0</v>
      </c>
      <c r="F14" s="152">
        <f t="shared" si="1"/>
        <v>0</v>
      </c>
      <c r="G14" s="152">
        <f t="shared" si="1"/>
        <v>0</v>
      </c>
      <c r="H14" s="152">
        <f t="shared" si="1"/>
        <v>0</v>
      </c>
      <c r="I14" s="152">
        <f t="shared" si="1"/>
        <v>0</v>
      </c>
      <c r="J14" s="152">
        <f t="shared" si="1"/>
        <v>0</v>
      </c>
      <c r="K14" s="152">
        <f t="shared" si="1"/>
        <v>0</v>
      </c>
      <c r="L14" s="152">
        <f t="shared" si="1"/>
        <v>0</v>
      </c>
      <c r="M14" s="152">
        <f t="shared" si="1"/>
        <v>0</v>
      </c>
      <c r="N14" s="152">
        <f t="shared" si="1"/>
        <v>0</v>
      </c>
      <c r="O14" s="152">
        <f t="shared" si="1"/>
        <v>0</v>
      </c>
      <c r="P14" s="152">
        <f t="shared" si="1"/>
        <v>0</v>
      </c>
      <c r="Q14" s="152">
        <f t="shared" si="1"/>
        <v>886361</v>
      </c>
      <c r="R14" s="150">
        <f t="shared" si="0"/>
        <v>886361</v>
      </c>
    </row>
    <row r="15" spans="1:18" s="147" customFormat="1" ht="21" customHeight="1">
      <c r="A15" s="154">
        <v>521000</v>
      </c>
      <c r="B15" s="155"/>
      <c r="C15" s="156"/>
      <c r="D15" s="156"/>
      <c r="E15" s="155"/>
      <c r="F15" s="156"/>
      <c r="G15" s="156"/>
      <c r="H15" s="155"/>
      <c r="I15" s="155"/>
      <c r="J15" s="155"/>
      <c r="K15" s="150"/>
      <c r="L15" s="155"/>
      <c r="M15" s="155"/>
      <c r="N15" s="155"/>
      <c r="O15" s="150"/>
      <c r="P15" s="150"/>
      <c r="Q15" s="152"/>
      <c r="R15" s="150"/>
    </row>
    <row r="16" spans="1:18" s="147" customFormat="1" ht="21" customHeight="1">
      <c r="A16" s="157">
        <v>210100</v>
      </c>
      <c r="B16" s="149">
        <f>428400-42840-42840-42840-42840-42840</f>
        <v>214200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50">
        <f aca="true" t="shared" si="2" ref="R16:R21">SUM(B16:Q16)</f>
        <v>214200</v>
      </c>
    </row>
    <row r="17" spans="1:18" s="147" customFormat="1" ht="21" customHeight="1">
      <c r="A17" s="157">
        <v>210200</v>
      </c>
      <c r="B17" s="149">
        <f>42120-3510-3510-3510-3510-3510</f>
        <v>24570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50">
        <f t="shared" si="2"/>
        <v>24570</v>
      </c>
    </row>
    <row r="18" spans="1:18" s="147" customFormat="1" ht="21" customHeight="1">
      <c r="A18" s="157">
        <v>210300</v>
      </c>
      <c r="B18" s="149">
        <f>42120-3510-3510-3510-3510-3510</f>
        <v>24570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50">
        <f t="shared" si="2"/>
        <v>24570</v>
      </c>
    </row>
    <row r="19" spans="1:18" s="147" customFormat="1" ht="21" customHeight="1">
      <c r="A19" s="157">
        <v>210400</v>
      </c>
      <c r="B19" s="149">
        <v>72000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50">
        <f t="shared" si="2"/>
        <v>72000</v>
      </c>
    </row>
    <row r="20" spans="1:18" s="147" customFormat="1" ht="21" customHeight="1">
      <c r="A20" s="157">
        <v>210600</v>
      </c>
      <c r="B20" s="149">
        <f>1212000-121200-121200-121200-121200-121200</f>
        <v>606000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50">
        <f t="shared" si="2"/>
        <v>606000</v>
      </c>
    </row>
    <row r="21" spans="1:18" s="147" customFormat="1" ht="21" customHeight="1">
      <c r="A21" s="151" t="s">
        <v>17</v>
      </c>
      <c r="B21" s="152">
        <f aca="true" t="shared" si="3" ref="B21:Q21">SUM(B16:B20)</f>
        <v>941340</v>
      </c>
      <c r="C21" s="152">
        <f t="shared" si="3"/>
        <v>0</v>
      </c>
      <c r="D21" s="152">
        <f t="shared" si="3"/>
        <v>0</v>
      </c>
      <c r="E21" s="152">
        <f t="shared" si="3"/>
        <v>0</v>
      </c>
      <c r="F21" s="152">
        <f t="shared" si="3"/>
        <v>0</v>
      </c>
      <c r="G21" s="152">
        <f t="shared" si="3"/>
        <v>0</v>
      </c>
      <c r="H21" s="152">
        <f t="shared" si="3"/>
        <v>0</v>
      </c>
      <c r="I21" s="152">
        <f t="shared" si="3"/>
        <v>0</v>
      </c>
      <c r="J21" s="152">
        <f t="shared" si="3"/>
        <v>0</v>
      </c>
      <c r="K21" s="152">
        <f t="shared" si="3"/>
        <v>0</v>
      </c>
      <c r="L21" s="152">
        <f t="shared" si="3"/>
        <v>0</v>
      </c>
      <c r="M21" s="152">
        <f t="shared" si="3"/>
        <v>0</v>
      </c>
      <c r="N21" s="152">
        <f t="shared" si="3"/>
        <v>0</v>
      </c>
      <c r="O21" s="152">
        <f t="shared" si="3"/>
        <v>0</v>
      </c>
      <c r="P21" s="152">
        <f t="shared" si="3"/>
        <v>0</v>
      </c>
      <c r="Q21" s="152">
        <f t="shared" si="3"/>
        <v>0</v>
      </c>
      <c r="R21" s="150">
        <f t="shared" si="2"/>
        <v>941340</v>
      </c>
    </row>
    <row r="22" spans="1:18" s="147" customFormat="1" ht="21" customHeight="1">
      <c r="A22" s="154">
        <v>522000</v>
      </c>
      <c r="B22" s="155"/>
      <c r="C22" s="156"/>
      <c r="D22" s="156"/>
      <c r="E22" s="155"/>
      <c r="F22" s="156"/>
      <c r="G22" s="156"/>
      <c r="H22" s="155"/>
      <c r="I22" s="155"/>
      <c r="J22" s="155"/>
      <c r="K22" s="150"/>
      <c r="L22" s="155"/>
      <c r="M22" s="155"/>
      <c r="N22" s="155"/>
      <c r="O22" s="150"/>
      <c r="P22" s="150"/>
      <c r="Q22" s="152"/>
      <c r="R22" s="150"/>
    </row>
    <row r="23" spans="1:18" s="147" customFormat="1" ht="21" customHeight="1">
      <c r="A23" s="157">
        <v>220100</v>
      </c>
      <c r="B23" s="149">
        <f>1351600-110020-110020-110020-110020-110020</f>
        <v>801500</v>
      </c>
      <c r="C23" s="149">
        <v>0</v>
      </c>
      <c r="D23" s="149">
        <f>577320-47220-47220-47220-47220-47220</f>
        <v>341220</v>
      </c>
      <c r="E23" s="149">
        <v>0</v>
      </c>
      <c r="F23" s="149">
        <v>0</v>
      </c>
      <c r="G23" s="149">
        <v>0</v>
      </c>
      <c r="H23" s="149">
        <v>0</v>
      </c>
      <c r="I23" s="149">
        <f>465720-37940-37940-37940-37940-37940</f>
        <v>276020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50">
        <f aca="true" t="shared" si="4" ref="R23:R29">SUM(B23:Q23)</f>
        <v>1418740</v>
      </c>
    </row>
    <row r="24" spans="1:18" s="147" customFormat="1" ht="21" customHeight="1">
      <c r="A24" s="157">
        <v>220200</v>
      </c>
      <c r="B24" s="149">
        <f>52320-2760-2760-2760-2760-2760</f>
        <v>38520</v>
      </c>
      <c r="C24" s="149">
        <v>0</v>
      </c>
      <c r="D24" s="149">
        <f>36000-2340-2340-2340-2340-2340</f>
        <v>24300</v>
      </c>
      <c r="E24" s="149">
        <v>0</v>
      </c>
      <c r="F24" s="149">
        <v>0</v>
      </c>
      <c r="G24" s="149">
        <v>0</v>
      </c>
      <c r="H24" s="149">
        <v>0</v>
      </c>
      <c r="I24" s="149">
        <f>30000-2090-2090-2090-2090-2090</f>
        <v>19550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50">
        <f t="shared" si="4"/>
        <v>82370</v>
      </c>
    </row>
    <row r="25" spans="1:18" s="147" customFormat="1" ht="21" customHeight="1">
      <c r="A25" s="157">
        <v>220300</v>
      </c>
      <c r="B25" s="149">
        <f>42000-3500-3500-3500-3500-3500</f>
        <v>24500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50">
        <f t="shared" si="4"/>
        <v>24500</v>
      </c>
    </row>
    <row r="26" spans="1:18" s="147" customFormat="1" ht="21" customHeight="1">
      <c r="A26" s="157">
        <v>220600</v>
      </c>
      <c r="B26" s="149">
        <f>625760-40703-60070-50550-47816-41830</f>
        <v>384791</v>
      </c>
      <c r="C26" s="149">
        <v>0</v>
      </c>
      <c r="D26" s="149">
        <f>224520-18710-18710-18710-18710-18710</f>
        <v>130970</v>
      </c>
      <c r="E26" s="149">
        <v>0</v>
      </c>
      <c r="F26" s="149">
        <v>0</v>
      </c>
      <c r="G26" s="149">
        <v>0</v>
      </c>
      <c r="H26" s="149">
        <v>0</v>
      </c>
      <c r="I26" s="149">
        <f>243840-18140-18140-18140-18140-28820</f>
        <v>142460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50">
        <f t="shared" si="4"/>
        <v>658221</v>
      </c>
    </row>
    <row r="27" spans="1:18" s="147" customFormat="1" ht="21" customHeight="1">
      <c r="A27" s="157">
        <v>220700</v>
      </c>
      <c r="B27" s="149">
        <f>141600-9735-10110-10110-10110-10110</f>
        <v>91425</v>
      </c>
      <c r="C27" s="149">
        <v>0</v>
      </c>
      <c r="D27" s="149">
        <f>36000-2810-2810-2810-2810-2810</f>
        <v>21950</v>
      </c>
      <c r="E27" s="149">
        <v>0</v>
      </c>
      <c r="F27" s="149">
        <v>0</v>
      </c>
      <c r="G27" s="149">
        <v>0</v>
      </c>
      <c r="H27" s="149">
        <v>0</v>
      </c>
      <c r="I27" s="149">
        <f>36000-3600-6600-5100-5100-8100</f>
        <v>7500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50">
        <f>SUM(B27:Q27)</f>
        <v>120875</v>
      </c>
    </row>
    <row r="28" spans="1:18" s="147" customFormat="1" ht="21" customHeight="1">
      <c r="A28" s="157">
        <v>221100</v>
      </c>
      <c r="B28" s="149">
        <f>21600+5000-2370-2370-2370-2370-2370</f>
        <v>14750</v>
      </c>
      <c r="C28" s="149">
        <v>0</v>
      </c>
      <c r="D28" s="149">
        <f>9000+5000-1270-1270-1270-1270-1270</f>
        <v>7650</v>
      </c>
      <c r="E28" s="149">
        <v>0</v>
      </c>
      <c r="F28" s="149">
        <v>0</v>
      </c>
      <c r="G28" s="149">
        <v>0</v>
      </c>
      <c r="H28" s="149">
        <v>0</v>
      </c>
      <c r="I28" s="149">
        <f>3000+5000-320-320-320-320-320</f>
        <v>6400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50">
        <f t="shared" si="4"/>
        <v>28800</v>
      </c>
    </row>
    <row r="29" spans="1:18" s="147" customFormat="1" ht="21" customHeight="1">
      <c r="A29" s="151" t="s">
        <v>17</v>
      </c>
      <c r="B29" s="152">
        <f aca="true" t="shared" si="5" ref="B29:Q29">SUM(B23:B28)</f>
        <v>1355486</v>
      </c>
      <c r="C29" s="152">
        <f t="shared" si="5"/>
        <v>0</v>
      </c>
      <c r="D29" s="152">
        <f t="shared" si="5"/>
        <v>526090</v>
      </c>
      <c r="E29" s="152">
        <f t="shared" si="5"/>
        <v>0</v>
      </c>
      <c r="F29" s="152">
        <f t="shared" si="5"/>
        <v>0</v>
      </c>
      <c r="G29" s="152">
        <f t="shared" si="5"/>
        <v>0</v>
      </c>
      <c r="H29" s="152">
        <f t="shared" si="5"/>
        <v>0</v>
      </c>
      <c r="I29" s="152">
        <f t="shared" si="5"/>
        <v>451930</v>
      </c>
      <c r="J29" s="152">
        <f t="shared" si="5"/>
        <v>0</v>
      </c>
      <c r="K29" s="152">
        <f t="shared" si="5"/>
        <v>0</v>
      </c>
      <c r="L29" s="152">
        <f t="shared" si="5"/>
        <v>0</v>
      </c>
      <c r="M29" s="152">
        <f t="shared" si="5"/>
        <v>0</v>
      </c>
      <c r="N29" s="152">
        <f t="shared" si="5"/>
        <v>0</v>
      </c>
      <c r="O29" s="152">
        <f t="shared" si="5"/>
        <v>0</v>
      </c>
      <c r="P29" s="152">
        <f t="shared" si="5"/>
        <v>0</v>
      </c>
      <c r="Q29" s="152">
        <f t="shared" si="5"/>
        <v>0</v>
      </c>
      <c r="R29" s="150">
        <f t="shared" si="4"/>
        <v>2333506</v>
      </c>
    </row>
    <row r="30" spans="1:18" s="147" customFormat="1" ht="21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/>
    </row>
    <row r="31" spans="1:18" s="147" customFormat="1" ht="21" customHeight="1">
      <c r="A31" s="165"/>
      <c r="B31" s="163"/>
      <c r="C31" s="163"/>
      <c r="D31" s="575" t="s">
        <v>7</v>
      </c>
      <c r="E31" s="575"/>
      <c r="F31" s="166"/>
      <c r="G31" s="166"/>
      <c r="H31" s="163"/>
      <c r="I31" s="163"/>
      <c r="J31" s="569" t="s">
        <v>97</v>
      </c>
      <c r="K31" s="569"/>
      <c r="L31" s="569"/>
      <c r="M31" s="569"/>
      <c r="N31" s="163"/>
      <c r="O31" s="163"/>
      <c r="P31" s="163"/>
      <c r="Q31" s="163"/>
      <c r="R31" s="164"/>
    </row>
    <row r="32" spans="1:18" s="147" customFormat="1" ht="21" customHeight="1">
      <c r="A32" s="165"/>
      <c r="B32" s="163"/>
      <c r="C32" s="163"/>
      <c r="D32" s="166"/>
      <c r="E32" s="166"/>
      <c r="F32" s="166"/>
      <c r="G32" s="166"/>
      <c r="H32" s="163"/>
      <c r="I32" s="163"/>
      <c r="J32" s="85"/>
      <c r="K32" s="85"/>
      <c r="L32" s="85"/>
      <c r="M32" s="85"/>
      <c r="N32" s="163"/>
      <c r="O32" s="163"/>
      <c r="P32" s="163"/>
      <c r="Q32" s="163"/>
      <c r="R32" s="164"/>
    </row>
    <row r="33" spans="1:18" s="147" customFormat="1" ht="21" customHeight="1">
      <c r="A33" s="165"/>
      <c r="B33" s="163"/>
      <c r="C33" s="163"/>
      <c r="D33" s="575" t="s">
        <v>114</v>
      </c>
      <c r="E33" s="575"/>
      <c r="F33" s="166"/>
      <c r="G33" s="166"/>
      <c r="H33" s="163"/>
      <c r="I33" s="163"/>
      <c r="J33" s="569" t="s">
        <v>269</v>
      </c>
      <c r="K33" s="569"/>
      <c r="L33" s="569"/>
      <c r="M33" s="569"/>
      <c r="N33" s="163"/>
      <c r="O33" s="163"/>
      <c r="P33" s="163"/>
      <c r="Q33" s="163"/>
      <c r="R33" s="164"/>
    </row>
    <row r="34" spans="1:18" s="147" customFormat="1" ht="21" customHeight="1">
      <c r="A34" s="165"/>
      <c r="B34" s="163"/>
      <c r="C34" s="163"/>
      <c r="D34" s="575" t="s">
        <v>281</v>
      </c>
      <c r="E34" s="575"/>
      <c r="F34" s="166"/>
      <c r="G34" s="166"/>
      <c r="H34" s="163"/>
      <c r="I34" s="163"/>
      <c r="J34" s="569" t="s">
        <v>96</v>
      </c>
      <c r="K34" s="569"/>
      <c r="L34" s="569"/>
      <c r="M34" s="569"/>
      <c r="N34" s="163"/>
      <c r="O34" s="163"/>
      <c r="P34" s="163"/>
      <c r="Q34" s="163"/>
      <c r="R34" s="164"/>
    </row>
    <row r="35" spans="1:18" s="147" customFormat="1" ht="21" customHeight="1">
      <c r="A35" s="165"/>
      <c r="B35" s="163"/>
      <c r="C35" s="163"/>
      <c r="D35" s="166"/>
      <c r="E35" s="166"/>
      <c r="F35" s="166"/>
      <c r="G35" s="166"/>
      <c r="H35" s="163"/>
      <c r="I35" s="163"/>
      <c r="J35" s="569"/>
      <c r="K35" s="569"/>
      <c r="L35" s="569"/>
      <c r="M35" s="569"/>
      <c r="N35" s="163"/>
      <c r="O35" s="163"/>
      <c r="P35" s="163"/>
      <c r="Q35" s="163"/>
      <c r="R35" s="164"/>
    </row>
    <row r="36" spans="1:18" s="147" customFormat="1" ht="21" customHeight="1">
      <c r="A36" s="165"/>
      <c r="B36" s="163"/>
      <c r="C36" s="163"/>
      <c r="D36" s="166"/>
      <c r="E36" s="166"/>
      <c r="F36" s="166"/>
      <c r="G36" s="166"/>
      <c r="H36" s="163"/>
      <c r="I36" s="163"/>
      <c r="J36" s="85"/>
      <c r="K36" s="85"/>
      <c r="L36" s="85"/>
      <c r="M36" s="85"/>
      <c r="N36" s="163"/>
      <c r="O36" s="163"/>
      <c r="P36" s="163"/>
      <c r="Q36" s="163"/>
      <c r="R36" s="164"/>
    </row>
    <row r="37" spans="1:18" s="147" customFormat="1" ht="19.5" thickBot="1">
      <c r="A37" s="581" t="s">
        <v>19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</row>
    <row r="38" spans="1:18" s="133" customFormat="1" ht="21" customHeight="1">
      <c r="A38" s="128" t="s">
        <v>14</v>
      </c>
      <c r="B38" s="576" t="s">
        <v>78</v>
      </c>
      <c r="C38" s="577"/>
      <c r="D38" s="578"/>
      <c r="E38" s="490" t="s">
        <v>81</v>
      </c>
      <c r="F38" s="490" t="s">
        <v>87</v>
      </c>
      <c r="G38" s="129" t="s">
        <v>88</v>
      </c>
      <c r="H38" s="130" t="s">
        <v>91</v>
      </c>
      <c r="I38" s="576" t="s">
        <v>82</v>
      </c>
      <c r="J38" s="578"/>
      <c r="K38" s="131" t="s">
        <v>92</v>
      </c>
      <c r="L38" s="576" t="s">
        <v>83</v>
      </c>
      <c r="M38" s="577"/>
      <c r="N38" s="578"/>
      <c r="O38" s="131" t="s">
        <v>95</v>
      </c>
      <c r="P38" s="131" t="s">
        <v>111</v>
      </c>
      <c r="Q38" s="129" t="s">
        <v>76</v>
      </c>
      <c r="R38" s="132" t="s">
        <v>15</v>
      </c>
    </row>
    <row r="39" spans="1:18" s="133" customFormat="1" ht="21" customHeight="1" thickBot="1">
      <c r="A39" s="134" t="s">
        <v>16</v>
      </c>
      <c r="B39" s="136" t="s">
        <v>79</v>
      </c>
      <c r="C39" s="137" t="s">
        <v>323</v>
      </c>
      <c r="D39" s="137" t="s">
        <v>80</v>
      </c>
      <c r="E39" s="135" t="s">
        <v>72</v>
      </c>
      <c r="F39" s="136" t="s">
        <v>106</v>
      </c>
      <c r="G39" s="136" t="s">
        <v>89</v>
      </c>
      <c r="H39" s="139" t="s">
        <v>263</v>
      </c>
      <c r="I39" s="135" t="s">
        <v>74</v>
      </c>
      <c r="J39" s="135" t="s">
        <v>75</v>
      </c>
      <c r="K39" s="140" t="s">
        <v>262</v>
      </c>
      <c r="L39" s="423" t="s">
        <v>127</v>
      </c>
      <c r="M39" s="137" t="s">
        <v>84</v>
      </c>
      <c r="N39" s="138" t="s">
        <v>85</v>
      </c>
      <c r="O39" s="140" t="s">
        <v>94</v>
      </c>
      <c r="P39" s="140" t="s">
        <v>112</v>
      </c>
      <c r="Q39" s="135" t="s">
        <v>77</v>
      </c>
      <c r="R39" s="141"/>
    </row>
    <row r="40" spans="1:18" s="147" customFormat="1" ht="21" customHeight="1">
      <c r="A40" s="159">
        <v>531000</v>
      </c>
      <c r="B40" s="160"/>
      <c r="C40" s="161"/>
      <c r="D40" s="161"/>
      <c r="E40" s="143"/>
      <c r="F40" s="144"/>
      <c r="G40" s="144"/>
      <c r="H40" s="143"/>
      <c r="I40" s="143"/>
      <c r="J40" s="160"/>
      <c r="K40" s="150"/>
      <c r="L40" s="424"/>
      <c r="M40" s="143"/>
      <c r="N40" s="143"/>
      <c r="O40" s="150"/>
      <c r="P40" s="150"/>
      <c r="Q40" s="160"/>
      <c r="R40" s="150"/>
    </row>
    <row r="41" spans="1:18" s="147" customFormat="1" ht="21" customHeight="1">
      <c r="A41" s="157">
        <v>310100</v>
      </c>
      <c r="B41" s="149">
        <f>438950+15000-300-1800</f>
        <v>451850</v>
      </c>
      <c r="C41" s="149">
        <v>0</v>
      </c>
      <c r="D41" s="149">
        <f>170460</f>
        <v>170460</v>
      </c>
      <c r="E41" s="149">
        <v>0</v>
      </c>
      <c r="F41" s="149">
        <v>0</v>
      </c>
      <c r="G41" s="149">
        <v>0</v>
      </c>
      <c r="H41" s="149">
        <v>0</v>
      </c>
      <c r="I41" s="149">
        <f>165790+30000-11000-14000</f>
        <v>170790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50">
        <f aca="true" t="shared" si="6" ref="R41:R49">SUM(B41:Q41)</f>
        <v>793100</v>
      </c>
    </row>
    <row r="42" spans="1:18" s="147" customFormat="1" ht="21" customHeight="1">
      <c r="A42" s="157">
        <v>310200</v>
      </c>
      <c r="B42" s="149">
        <f>30000-30000</f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50">
        <f t="shared" si="6"/>
        <v>0</v>
      </c>
    </row>
    <row r="43" spans="1:18" s="147" customFormat="1" ht="21" customHeight="1">
      <c r="A43" s="157">
        <v>310300</v>
      </c>
      <c r="B43" s="149">
        <v>30000</v>
      </c>
      <c r="C43" s="149">
        <v>0</v>
      </c>
      <c r="D43" s="149">
        <v>20000</v>
      </c>
      <c r="E43" s="149">
        <v>0</v>
      </c>
      <c r="F43" s="149">
        <v>0</v>
      </c>
      <c r="G43" s="149">
        <v>0</v>
      </c>
      <c r="H43" s="149">
        <v>0</v>
      </c>
      <c r="I43" s="149">
        <f>100000-5040-3360-5040-5040-3360</f>
        <v>78160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50">
        <f t="shared" si="6"/>
        <v>128160</v>
      </c>
    </row>
    <row r="44" spans="1:18" s="147" customFormat="1" ht="21" customHeight="1">
      <c r="A44" s="157">
        <v>310400</v>
      </c>
      <c r="B44" s="149">
        <f>72000-6350-6350-6350-6350-6350</f>
        <v>40250</v>
      </c>
      <c r="C44" s="149">
        <v>0</v>
      </c>
      <c r="D44" s="149">
        <f>78600-6550-6550-6550-6550-6550</f>
        <v>45850</v>
      </c>
      <c r="E44" s="149">
        <v>0</v>
      </c>
      <c r="F44" s="149">
        <v>0</v>
      </c>
      <c r="G44" s="149">
        <v>0</v>
      </c>
      <c r="H44" s="149">
        <v>0</v>
      </c>
      <c r="I44" s="149">
        <f>23400-1950-1950-1950-1950-1950</f>
        <v>13650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50">
        <f t="shared" si="6"/>
        <v>99750</v>
      </c>
    </row>
    <row r="45" spans="1:18" s="147" customFormat="1" ht="21" customHeight="1">
      <c r="A45" s="157">
        <v>310500</v>
      </c>
      <c r="B45" s="149">
        <f>15000-1937</f>
        <v>13063</v>
      </c>
      <c r="C45" s="149">
        <v>0</v>
      </c>
      <c r="D45" s="149">
        <f>10000-1937</f>
        <v>8063</v>
      </c>
      <c r="E45" s="149">
        <v>0</v>
      </c>
      <c r="F45" s="149">
        <v>0</v>
      </c>
      <c r="G45" s="149">
        <v>0</v>
      </c>
      <c r="H45" s="149">
        <v>0</v>
      </c>
      <c r="I45" s="149">
        <f>10000-1702</f>
        <v>8298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50">
        <f t="shared" si="6"/>
        <v>29424</v>
      </c>
    </row>
    <row r="46" spans="1:18" s="147" customFormat="1" ht="21" customHeight="1">
      <c r="A46" s="157">
        <v>310600</v>
      </c>
      <c r="B46" s="149">
        <f>30000-16146-958-1349-3603</f>
        <v>7944</v>
      </c>
      <c r="C46" s="149">
        <v>0</v>
      </c>
      <c r="D46" s="149">
        <f>30000-1233-1597-4281-3050</f>
        <v>19839</v>
      </c>
      <c r="E46" s="149">
        <v>0</v>
      </c>
      <c r="F46" s="149">
        <v>0</v>
      </c>
      <c r="G46" s="149">
        <v>0</v>
      </c>
      <c r="H46" s="149">
        <v>0</v>
      </c>
      <c r="I46" s="149">
        <f>200000-61792-24957-41530-16031</f>
        <v>55690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50">
        <f t="shared" si="6"/>
        <v>83473</v>
      </c>
    </row>
    <row r="47" spans="1:18" s="147" customFormat="1" ht="21" customHeight="1">
      <c r="A47" s="157">
        <v>310800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50">
        <f t="shared" si="6"/>
        <v>0</v>
      </c>
    </row>
    <row r="48" spans="1:18" s="147" customFormat="1" ht="21" customHeight="1">
      <c r="A48" s="157">
        <v>310900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50">
        <f t="shared" si="6"/>
        <v>0</v>
      </c>
    </row>
    <row r="49" spans="1:18" s="147" customFormat="1" ht="21" customHeight="1">
      <c r="A49" s="151" t="s">
        <v>17</v>
      </c>
      <c r="B49" s="152">
        <f aca="true" t="shared" si="7" ref="B49:Q49">SUM(B41:B48)</f>
        <v>543107</v>
      </c>
      <c r="C49" s="152">
        <f t="shared" si="7"/>
        <v>0</v>
      </c>
      <c r="D49" s="152">
        <f t="shared" si="7"/>
        <v>264212</v>
      </c>
      <c r="E49" s="152">
        <f t="shared" si="7"/>
        <v>0</v>
      </c>
      <c r="F49" s="152">
        <f t="shared" si="7"/>
        <v>0</v>
      </c>
      <c r="G49" s="152">
        <f t="shared" si="7"/>
        <v>0</v>
      </c>
      <c r="H49" s="152">
        <f t="shared" si="7"/>
        <v>0</v>
      </c>
      <c r="I49" s="152">
        <f t="shared" si="7"/>
        <v>326588</v>
      </c>
      <c r="J49" s="152">
        <f t="shared" si="7"/>
        <v>0</v>
      </c>
      <c r="K49" s="152">
        <f t="shared" si="7"/>
        <v>0</v>
      </c>
      <c r="L49" s="152">
        <f t="shared" si="7"/>
        <v>0</v>
      </c>
      <c r="M49" s="152">
        <f t="shared" si="7"/>
        <v>0</v>
      </c>
      <c r="N49" s="152">
        <f t="shared" si="7"/>
        <v>0</v>
      </c>
      <c r="O49" s="152">
        <f t="shared" si="7"/>
        <v>0</v>
      </c>
      <c r="P49" s="152">
        <f t="shared" si="7"/>
        <v>0</v>
      </c>
      <c r="Q49" s="152">
        <f t="shared" si="7"/>
        <v>0</v>
      </c>
      <c r="R49" s="150">
        <f t="shared" si="6"/>
        <v>1133907</v>
      </c>
    </row>
    <row r="50" spans="1:18" s="147" customFormat="1" ht="21" customHeight="1">
      <c r="A50" s="154">
        <v>532000</v>
      </c>
      <c r="B50" s="152"/>
      <c r="C50" s="158"/>
      <c r="D50" s="158"/>
      <c r="E50" s="155"/>
      <c r="F50" s="156"/>
      <c r="G50" s="156"/>
      <c r="H50" s="152"/>
      <c r="I50" s="155"/>
      <c r="J50" s="152"/>
      <c r="K50" s="150"/>
      <c r="L50" s="155"/>
      <c r="M50" s="155"/>
      <c r="N50" s="155"/>
      <c r="O50" s="150"/>
      <c r="P50" s="150"/>
      <c r="Q50" s="152"/>
      <c r="R50" s="150"/>
    </row>
    <row r="51" spans="1:18" s="147" customFormat="1" ht="21" customHeight="1">
      <c r="A51" s="157">
        <v>320100</v>
      </c>
      <c r="B51" s="149">
        <f>30000+50000+120000+4000-1386-12500-9500-31900-14300</f>
        <v>134414</v>
      </c>
      <c r="C51" s="149">
        <v>19500</v>
      </c>
      <c r="D51" s="149">
        <v>7000</v>
      </c>
      <c r="E51" s="149">
        <v>0</v>
      </c>
      <c r="F51" s="149">
        <v>0</v>
      </c>
      <c r="G51" s="149">
        <f>30000+17100-4000-6700</f>
        <v>36400</v>
      </c>
      <c r="H51" s="149">
        <v>0</v>
      </c>
      <c r="I51" s="149">
        <f>7000+20000</f>
        <v>27000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f>59300-16500+50700-16500-16500-16500</f>
        <v>44000</v>
      </c>
      <c r="Q51" s="149">
        <v>0</v>
      </c>
      <c r="R51" s="150">
        <f aca="true" t="shared" si="8" ref="R51:R56">SUM(B51:Q51)</f>
        <v>268314</v>
      </c>
    </row>
    <row r="52" spans="1:18" s="147" customFormat="1" ht="21" customHeight="1">
      <c r="A52" s="157">
        <v>320200</v>
      </c>
      <c r="B52" s="149">
        <f>20000+5000-5345+10000-1412-1100</f>
        <v>27143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50">
        <f t="shared" si="8"/>
        <v>27143</v>
      </c>
    </row>
    <row r="53" spans="1:18" s="147" customFormat="1" ht="21" customHeight="1">
      <c r="A53" s="157">
        <v>320300</v>
      </c>
      <c r="B53" s="149">
        <f>200000+5000+15000+10000+200000+9600+1250-17538-1700-88674</f>
        <v>332938</v>
      </c>
      <c r="C53" s="149">
        <v>0</v>
      </c>
      <c r="D53" s="149">
        <f>100000+10000+100000</f>
        <v>210000</v>
      </c>
      <c r="E53" s="149">
        <f>18000+100000+20000+5000+15000-11200</f>
        <v>146800</v>
      </c>
      <c r="F53" s="149">
        <f>30000+3000+10000+578760+20000+6000-289380-21660</f>
        <v>336720</v>
      </c>
      <c r="G53" s="149">
        <f>5000-4000</f>
        <v>1000</v>
      </c>
      <c r="H53" s="149">
        <f>5000+20000</f>
        <v>25000</v>
      </c>
      <c r="I53" s="149">
        <v>100000</v>
      </c>
      <c r="J53" s="149">
        <v>0</v>
      </c>
      <c r="K53" s="149">
        <v>0</v>
      </c>
      <c r="L53" s="149">
        <f>120000+200000-29000-6802.5-146928-2688.38-2045.58</f>
        <v>132535.54</v>
      </c>
      <c r="M53" s="149">
        <v>40000</v>
      </c>
      <c r="N53" s="149">
        <v>0</v>
      </c>
      <c r="O53" s="149">
        <v>0</v>
      </c>
      <c r="P53" s="149">
        <v>0</v>
      </c>
      <c r="Q53" s="149">
        <v>0</v>
      </c>
      <c r="R53" s="150">
        <f t="shared" si="8"/>
        <v>1324993.54</v>
      </c>
    </row>
    <row r="54" spans="1:18" s="147" customFormat="1" ht="21" customHeight="1">
      <c r="A54" s="157">
        <v>320400</v>
      </c>
      <c r="B54" s="149">
        <f>30000-1290-2340-4930-2925-3760</f>
        <v>14755</v>
      </c>
      <c r="C54" s="149">
        <v>0</v>
      </c>
      <c r="D54" s="149">
        <f>20000-500-700</f>
        <v>18800</v>
      </c>
      <c r="E54" s="149">
        <v>0</v>
      </c>
      <c r="F54" s="149">
        <v>0</v>
      </c>
      <c r="G54" s="149">
        <v>0</v>
      </c>
      <c r="H54" s="149">
        <v>0</v>
      </c>
      <c r="I54" s="149">
        <v>30000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30000</v>
      </c>
      <c r="Q54" s="149">
        <v>0</v>
      </c>
      <c r="R54" s="150">
        <f t="shared" si="8"/>
        <v>93555</v>
      </c>
    </row>
    <row r="55" spans="1:18" s="147" customFormat="1" ht="21" customHeight="1">
      <c r="A55" s="157">
        <v>320500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50">
        <f t="shared" si="8"/>
        <v>0</v>
      </c>
    </row>
    <row r="56" spans="1:18" s="147" customFormat="1" ht="21" customHeight="1">
      <c r="A56" s="151" t="s">
        <v>17</v>
      </c>
      <c r="B56" s="152">
        <f aca="true" t="shared" si="9" ref="B56:Q56">SUM(B51:B55)</f>
        <v>509250</v>
      </c>
      <c r="C56" s="152">
        <f t="shared" si="9"/>
        <v>19500</v>
      </c>
      <c r="D56" s="152">
        <f t="shared" si="9"/>
        <v>235800</v>
      </c>
      <c r="E56" s="152">
        <f t="shared" si="9"/>
        <v>146800</v>
      </c>
      <c r="F56" s="152">
        <f t="shared" si="9"/>
        <v>336720</v>
      </c>
      <c r="G56" s="152">
        <f t="shared" si="9"/>
        <v>37400</v>
      </c>
      <c r="H56" s="152">
        <f t="shared" si="9"/>
        <v>25000</v>
      </c>
      <c r="I56" s="152">
        <f t="shared" si="9"/>
        <v>157000</v>
      </c>
      <c r="J56" s="152">
        <f t="shared" si="9"/>
        <v>0</v>
      </c>
      <c r="K56" s="152">
        <f t="shared" si="9"/>
        <v>0</v>
      </c>
      <c r="L56" s="152">
        <f t="shared" si="9"/>
        <v>132535.54</v>
      </c>
      <c r="M56" s="152">
        <f t="shared" si="9"/>
        <v>40000</v>
      </c>
      <c r="N56" s="152">
        <f t="shared" si="9"/>
        <v>0</v>
      </c>
      <c r="O56" s="152">
        <f t="shared" si="9"/>
        <v>0</v>
      </c>
      <c r="P56" s="152">
        <f t="shared" si="9"/>
        <v>74000</v>
      </c>
      <c r="Q56" s="152">
        <f t="shared" si="9"/>
        <v>0</v>
      </c>
      <c r="R56" s="150">
        <f t="shared" si="8"/>
        <v>1714005.54</v>
      </c>
    </row>
    <row r="57" spans="1:18" s="147" customFormat="1" ht="21" customHeight="1">
      <c r="A57" s="165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428"/>
    </row>
    <row r="58" spans="1:18" s="147" customFormat="1" ht="21" customHeight="1">
      <c r="A58" s="162"/>
      <c r="B58" s="163"/>
      <c r="C58" s="163"/>
      <c r="D58" s="575" t="s">
        <v>7</v>
      </c>
      <c r="E58" s="575"/>
      <c r="F58" s="166"/>
      <c r="G58" s="166"/>
      <c r="H58" s="163"/>
      <c r="I58" s="163"/>
      <c r="J58" s="569" t="s">
        <v>97</v>
      </c>
      <c r="K58" s="569"/>
      <c r="L58" s="569"/>
      <c r="M58" s="569"/>
      <c r="N58" s="163"/>
      <c r="O58" s="163"/>
      <c r="P58" s="163"/>
      <c r="Q58" s="163"/>
      <c r="R58" s="164"/>
    </row>
    <row r="59" spans="1:18" s="147" customFormat="1" ht="21" customHeight="1">
      <c r="A59" s="162"/>
      <c r="B59" s="163"/>
      <c r="C59" s="163"/>
      <c r="D59" s="166"/>
      <c r="E59" s="166"/>
      <c r="F59" s="166"/>
      <c r="G59" s="166"/>
      <c r="H59" s="163"/>
      <c r="I59" s="163"/>
      <c r="J59" s="85"/>
      <c r="K59" s="85"/>
      <c r="L59" s="85"/>
      <c r="M59" s="85"/>
      <c r="N59" s="163"/>
      <c r="O59" s="163"/>
      <c r="P59" s="163"/>
      <c r="Q59" s="163"/>
      <c r="R59" s="164"/>
    </row>
    <row r="60" spans="1:18" s="147" customFormat="1" ht="21" customHeight="1">
      <c r="A60" s="165"/>
      <c r="B60" s="163"/>
      <c r="C60" s="163"/>
      <c r="D60" s="166"/>
      <c r="E60" s="166"/>
      <c r="F60" s="166"/>
      <c r="G60" s="166"/>
      <c r="H60" s="163"/>
      <c r="I60" s="163"/>
      <c r="J60" s="85"/>
      <c r="K60" s="75"/>
      <c r="L60" s="75"/>
      <c r="M60" s="75"/>
      <c r="N60" s="163"/>
      <c r="O60" s="163"/>
      <c r="P60" s="163"/>
      <c r="Q60" s="163"/>
      <c r="R60" s="164"/>
    </row>
    <row r="61" spans="1:18" s="147" customFormat="1" ht="21" customHeight="1">
      <c r="A61" s="165"/>
      <c r="B61" s="163"/>
      <c r="C61" s="163"/>
      <c r="D61" s="575" t="s">
        <v>114</v>
      </c>
      <c r="E61" s="575"/>
      <c r="F61" s="166"/>
      <c r="G61" s="166"/>
      <c r="H61" s="163"/>
      <c r="I61" s="163"/>
      <c r="J61" s="569" t="s">
        <v>269</v>
      </c>
      <c r="K61" s="569"/>
      <c r="L61" s="569"/>
      <c r="M61" s="569"/>
      <c r="N61" s="163"/>
      <c r="O61" s="163"/>
      <c r="P61" s="163"/>
      <c r="Q61" s="163"/>
      <c r="R61" s="164"/>
    </row>
    <row r="62" spans="1:18" s="147" customFormat="1" ht="21" customHeight="1">
      <c r="A62" s="165"/>
      <c r="B62" s="163"/>
      <c r="C62" s="163"/>
      <c r="D62" s="575" t="s">
        <v>281</v>
      </c>
      <c r="E62" s="575"/>
      <c r="F62" s="166"/>
      <c r="G62" s="166"/>
      <c r="H62" s="163"/>
      <c r="I62" s="163"/>
      <c r="J62" s="569" t="s">
        <v>96</v>
      </c>
      <c r="K62" s="569"/>
      <c r="L62" s="569"/>
      <c r="M62" s="569"/>
      <c r="N62" s="163"/>
      <c r="O62" s="163"/>
      <c r="P62" s="163"/>
      <c r="Q62" s="163"/>
      <c r="R62" s="164"/>
    </row>
    <row r="63" spans="1:18" s="147" customFormat="1" ht="21" customHeight="1">
      <c r="A63" s="165"/>
      <c r="B63" s="163"/>
      <c r="C63" s="163"/>
      <c r="D63" s="166"/>
      <c r="E63" s="166"/>
      <c r="F63" s="166"/>
      <c r="G63" s="166"/>
      <c r="H63" s="163"/>
      <c r="I63" s="163"/>
      <c r="J63" s="569"/>
      <c r="K63" s="569"/>
      <c r="L63" s="569"/>
      <c r="M63" s="569"/>
      <c r="N63" s="163"/>
      <c r="O63" s="163"/>
      <c r="P63" s="163"/>
      <c r="Q63" s="163"/>
      <c r="R63" s="164"/>
    </row>
    <row r="64" spans="1:18" s="147" customFormat="1" ht="21" customHeight="1">
      <c r="A64" s="165"/>
      <c r="B64" s="163"/>
      <c r="C64" s="163"/>
      <c r="D64" s="166"/>
      <c r="E64" s="166"/>
      <c r="F64" s="166"/>
      <c r="G64" s="166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</row>
    <row r="65" spans="1:18" s="147" customFormat="1" ht="21" customHeight="1">
      <c r="A65" s="165"/>
      <c r="B65" s="163"/>
      <c r="C65" s="163"/>
      <c r="D65" s="166"/>
      <c r="E65" s="166"/>
      <c r="F65" s="166"/>
      <c r="G65" s="166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</row>
    <row r="66" spans="1:18" s="147" customFormat="1" ht="21" customHeight="1">
      <c r="A66" s="165"/>
      <c r="B66" s="163"/>
      <c r="C66" s="163"/>
      <c r="D66" s="166"/>
      <c r="E66" s="166"/>
      <c r="F66" s="166"/>
      <c r="G66" s="166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4"/>
    </row>
    <row r="67" spans="1:18" s="147" customFormat="1" ht="21" customHeight="1">
      <c r="A67" s="165"/>
      <c r="B67" s="163"/>
      <c r="C67" s="163"/>
      <c r="D67" s="166"/>
      <c r="E67" s="166"/>
      <c r="F67" s="166"/>
      <c r="G67" s="166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4"/>
    </row>
    <row r="68" spans="1:18" s="147" customFormat="1" ht="21" customHeight="1">
      <c r="A68" s="165"/>
      <c r="B68" s="163"/>
      <c r="C68" s="163"/>
      <c r="D68" s="166"/>
      <c r="E68" s="166"/>
      <c r="F68" s="166"/>
      <c r="G68" s="166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4"/>
    </row>
    <row r="69" spans="1:18" s="147" customFormat="1" ht="21" customHeight="1">
      <c r="A69" s="165"/>
      <c r="B69" s="163"/>
      <c r="C69" s="163"/>
      <c r="D69" s="166"/>
      <c r="E69" s="166"/>
      <c r="F69" s="166"/>
      <c r="G69" s="166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4"/>
    </row>
    <row r="70" spans="1:18" s="147" customFormat="1" ht="21" customHeight="1">
      <c r="A70" s="165"/>
      <c r="B70" s="163"/>
      <c r="C70" s="163"/>
      <c r="D70" s="166"/>
      <c r="E70" s="166"/>
      <c r="F70" s="166"/>
      <c r="G70" s="166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4"/>
    </row>
    <row r="71" spans="1:18" s="147" customFormat="1" ht="21" customHeight="1">
      <c r="A71" s="165"/>
      <c r="B71" s="163"/>
      <c r="C71" s="163"/>
      <c r="D71" s="166"/>
      <c r="E71" s="166"/>
      <c r="F71" s="166"/>
      <c r="G71" s="166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4"/>
    </row>
    <row r="72" spans="1:18" s="147" customFormat="1" ht="21" customHeight="1">
      <c r="A72" s="165"/>
      <c r="B72" s="163"/>
      <c r="C72" s="163"/>
      <c r="D72" s="166"/>
      <c r="E72" s="166"/>
      <c r="F72" s="166"/>
      <c r="G72" s="166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4"/>
    </row>
    <row r="73" spans="1:18" s="147" customFormat="1" ht="21" customHeight="1">
      <c r="A73" s="165"/>
      <c r="B73" s="163"/>
      <c r="C73" s="163"/>
      <c r="D73" s="166"/>
      <c r="E73" s="166"/>
      <c r="F73" s="166"/>
      <c r="G73" s="166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4"/>
    </row>
    <row r="74" spans="1:18" s="147" customFormat="1" ht="21" customHeight="1" thickBot="1">
      <c r="A74" s="580" t="s">
        <v>68</v>
      </c>
      <c r="B74" s="580"/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</row>
    <row r="75" spans="1:18" s="133" customFormat="1" ht="21" customHeight="1">
      <c r="A75" s="128" t="s">
        <v>14</v>
      </c>
      <c r="B75" s="576" t="s">
        <v>78</v>
      </c>
      <c r="C75" s="577"/>
      <c r="D75" s="578"/>
      <c r="E75" s="490" t="s">
        <v>81</v>
      </c>
      <c r="F75" s="490" t="s">
        <v>87</v>
      </c>
      <c r="G75" s="129" t="s">
        <v>88</v>
      </c>
      <c r="H75" s="130" t="s">
        <v>91</v>
      </c>
      <c r="I75" s="576" t="s">
        <v>82</v>
      </c>
      <c r="J75" s="578"/>
      <c r="K75" s="131" t="s">
        <v>92</v>
      </c>
      <c r="L75" s="576" t="s">
        <v>83</v>
      </c>
      <c r="M75" s="577"/>
      <c r="N75" s="578"/>
      <c r="O75" s="131" t="s">
        <v>95</v>
      </c>
      <c r="P75" s="131" t="s">
        <v>111</v>
      </c>
      <c r="Q75" s="129" t="s">
        <v>76</v>
      </c>
      <c r="R75" s="132" t="s">
        <v>15</v>
      </c>
    </row>
    <row r="76" spans="1:18" s="133" customFormat="1" ht="21" customHeight="1" thickBot="1">
      <c r="A76" s="134" t="s">
        <v>16</v>
      </c>
      <c r="B76" s="136" t="s">
        <v>79</v>
      </c>
      <c r="C76" s="137" t="s">
        <v>323</v>
      </c>
      <c r="D76" s="137" t="s">
        <v>80</v>
      </c>
      <c r="E76" s="135" t="s">
        <v>72</v>
      </c>
      <c r="F76" s="136" t="s">
        <v>106</v>
      </c>
      <c r="G76" s="136" t="s">
        <v>89</v>
      </c>
      <c r="H76" s="139" t="s">
        <v>263</v>
      </c>
      <c r="I76" s="135" t="s">
        <v>74</v>
      </c>
      <c r="J76" s="135" t="s">
        <v>75</v>
      </c>
      <c r="K76" s="140" t="s">
        <v>262</v>
      </c>
      <c r="L76" s="423" t="s">
        <v>127</v>
      </c>
      <c r="M76" s="137" t="s">
        <v>84</v>
      </c>
      <c r="N76" s="138" t="s">
        <v>85</v>
      </c>
      <c r="O76" s="140" t="s">
        <v>94</v>
      </c>
      <c r="P76" s="140" t="s">
        <v>112</v>
      </c>
      <c r="Q76" s="135" t="s">
        <v>77</v>
      </c>
      <c r="R76" s="141"/>
    </row>
    <row r="77" spans="1:18" s="147" customFormat="1" ht="21" customHeight="1">
      <c r="A77" s="154">
        <v>533000</v>
      </c>
      <c r="B77" s="152"/>
      <c r="C77" s="161"/>
      <c r="D77" s="161"/>
      <c r="E77" s="143"/>
      <c r="F77" s="158"/>
      <c r="G77" s="144"/>
      <c r="H77" s="152"/>
      <c r="I77" s="152"/>
      <c r="J77" s="152"/>
      <c r="K77" s="150"/>
      <c r="L77" s="425"/>
      <c r="M77" s="167"/>
      <c r="N77" s="160"/>
      <c r="O77" s="150"/>
      <c r="P77" s="150"/>
      <c r="Q77" s="160"/>
      <c r="R77" s="150"/>
    </row>
    <row r="78" spans="1:18" s="147" customFormat="1" ht="21" customHeight="1">
      <c r="A78" s="168">
        <v>330100</v>
      </c>
      <c r="B78" s="149">
        <f>70000-4090-17148</f>
        <v>48762</v>
      </c>
      <c r="C78" s="149">
        <v>0</v>
      </c>
      <c r="D78" s="149">
        <f>50000-1299.8-8100-8755</f>
        <v>31845.199999999997</v>
      </c>
      <c r="E78" s="149">
        <v>0</v>
      </c>
      <c r="F78" s="149">
        <v>0</v>
      </c>
      <c r="G78" s="149">
        <v>0</v>
      </c>
      <c r="H78" s="149">
        <v>0</v>
      </c>
      <c r="I78" s="149">
        <f>25000-8135</f>
        <v>16865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50">
        <f aca="true" t="shared" si="10" ref="R78:R90">SUM(B78:Q78)</f>
        <v>97472.2</v>
      </c>
    </row>
    <row r="79" spans="1:18" s="147" customFormat="1" ht="21" customHeight="1">
      <c r="A79" s="168">
        <v>330200</v>
      </c>
      <c r="B79" s="149">
        <v>10000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50000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50">
        <f t="shared" si="10"/>
        <v>60000</v>
      </c>
    </row>
    <row r="80" spans="1:18" s="147" customFormat="1" ht="21" customHeight="1">
      <c r="A80" s="157">
        <v>330300</v>
      </c>
      <c r="B80" s="149">
        <f>10000-1540</f>
        <v>8460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f>100000-39350+100000-60175-99400</f>
        <v>1075</v>
      </c>
      <c r="Q80" s="149">
        <v>0</v>
      </c>
      <c r="R80" s="150">
        <f t="shared" si="10"/>
        <v>9535</v>
      </c>
    </row>
    <row r="81" spans="1:18" s="147" customFormat="1" ht="21" customHeight="1">
      <c r="A81" s="157">
        <v>330400</v>
      </c>
      <c r="B81" s="149">
        <v>0</v>
      </c>
      <c r="C81" s="149">
        <v>0</v>
      </c>
      <c r="D81" s="149">
        <v>0</v>
      </c>
      <c r="E81" s="149">
        <v>0</v>
      </c>
      <c r="F81" s="149">
        <v>892220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50">
        <f t="shared" si="10"/>
        <v>892220</v>
      </c>
    </row>
    <row r="82" spans="1:18" s="147" customFormat="1" ht="21" customHeight="1">
      <c r="A82" s="157">
        <v>330600</v>
      </c>
      <c r="B82" s="149">
        <v>0</v>
      </c>
      <c r="C82" s="149">
        <v>0</v>
      </c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149">
        <v>20000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f>100000-31200-26097</f>
        <v>42703</v>
      </c>
      <c r="Q82" s="149">
        <v>0</v>
      </c>
      <c r="R82" s="150">
        <f t="shared" si="10"/>
        <v>62703</v>
      </c>
    </row>
    <row r="83" spans="1:18" s="147" customFormat="1" ht="21" customHeight="1">
      <c r="A83" s="157">
        <v>330700</v>
      </c>
      <c r="B83" s="149">
        <v>30000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50">
        <f t="shared" si="10"/>
        <v>30000</v>
      </c>
    </row>
    <row r="84" spans="1:18" s="147" customFormat="1" ht="21" customHeight="1">
      <c r="A84" s="157">
        <v>330800</v>
      </c>
      <c r="B84" s="149">
        <f>200000-18100-19800-12500-8215</f>
        <v>141385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50">
        <f t="shared" si="10"/>
        <v>141385</v>
      </c>
    </row>
    <row r="85" spans="1:18" s="147" customFormat="1" ht="21" customHeight="1">
      <c r="A85" s="157">
        <v>330900</v>
      </c>
      <c r="B85" s="149">
        <v>0</v>
      </c>
      <c r="C85" s="149">
        <v>0</v>
      </c>
      <c r="D85" s="149">
        <v>0</v>
      </c>
      <c r="E85" s="149">
        <v>0</v>
      </c>
      <c r="F85" s="149">
        <v>0</v>
      </c>
      <c r="G85" s="149">
        <v>20000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50">
        <f t="shared" si="10"/>
        <v>20000</v>
      </c>
    </row>
    <row r="86" spans="1:18" s="147" customFormat="1" ht="21" customHeight="1">
      <c r="A86" s="157">
        <v>331000</v>
      </c>
      <c r="B86" s="149">
        <v>0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20000</v>
      </c>
      <c r="P86" s="149">
        <v>0</v>
      </c>
      <c r="Q86" s="149">
        <v>0</v>
      </c>
      <c r="R86" s="150">
        <f t="shared" si="10"/>
        <v>20000</v>
      </c>
    </row>
    <row r="87" spans="1:18" s="147" customFormat="1" ht="21" customHeight="1">
      <c r="A87" s="157">
        <v>331100</v>
      </c>
      <c r="B87" s="149">
        <v>50000</v>
      </c>
      <c r="C87" s="149">
        <v>0</v>
      </c>
      <c r="D87" s="149">
        <f>10000-9240</f>
        <v>760</v>
      </c>
      <c r="E87" s="149">
        <v>0</v>
      </c>
      <c r="F87" s="149">
        <v>0</v>
      </c>
      <c r="G87" s="149">
        <v>0</v>
      </c>
      <c r="H87" s="149">
        <v>0</v>
      </c>
      <c r="I87" s="149">
        <v>5000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50">
        <f t="shared" si="10"/>
        <v>55760</v>
      </c>
    </row>
    <row r="88" spans="1:18" s="147" customFormat="1" ht="21" customHeight="1">
      <c r="A88" s="157">
        <v>331400</v>
      </c>
      <c r="B88" s="149">
        <f>50000-37330</f>
        <v>12670</v>
      </c>
      <c r="C88" s="149">
        <v>0</v>
      </c>
      <c r="D88" s="149">
        <f>15000-1590-11700</f>
        <v>1710</v>
      </c>
      <c r="E88" s="149">
        <v>0</v>
      </c>
      <c r="F88" s="149">
        <v>0</v>
      </c>
      <c r="G88" s="149">
        <v>0</v>
      </c>
      <c r="H88" s="149">
        <v>0</v>
      </c>
      <c r="I88" s="149">
        <f>20000-2290-6880</f>
        <v>10830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50">
        <f t="shared" si="10"/>
        <v>25210</v>
      </c>
    </row>
    <row r="89" spans="1:18" s="147" customFormat="1" ht="21" customHeight="1">
      <c r="A89" s="157">
        <v>331700</v>
      </c>
      <c r="B89" s="149">
        <f>10000+36500-329-329-369-329</f>
        <v>45144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50">
        <f t="shared" si="10"/>
        <v>45144</v>
      </c>
    </row>
    <row r="90" spans="1:18" s="147" customFormat="1" ht="21" customHeight="1">
      <c r="A90" s="151" t="s">
        <v>17</v>
      </c>
      <c r="B90" s="152">
        <f aca="true" t="shared" si="11" ref="B90:Q90">SUM(B78:B89)</f>
        <v>346421</v>
      </c>
      <c r="C90" s="152">
        <f t="shared" si="11"/>
        <v>0</v>
      </c>
      <c r="D90" s="152">
        <f t="shared" si="11"/>
        <v>34315.2</v>
      </c>
      <c r="E90" s="152">
        <f t="shared" si="11"/>
        <v>0</v>
      </c>
      <c r="F90" s="152">
        <f t="shared" si="11"/>
        <v>892220</v>
      </c>
      <c r="G90" s="152">
        <f t="shared" si="11"/>
        <v>20000</v>
      </c>
      <c r="H90" s="152">
        <f t="shared" si="11"/>
        <v>0</v>
      </c>
      <c r="I90" s="152">
        <f t="shared" si="11"/>
        <v>102695</v>
      </c>
      <c r="J90" s="152">
        <f t="shared" si="11"/>
        <v>0</v>
      </c>
      <c r="K90" s="152">
        <f t="shared" si="11"/>
        <v>0</v>
      </c>
      <c r="L90" s="152">
        <f t="shared" si="11"/>
        <v>0</v>
      </c>
      <c r="M90" s="152">
        <f t="shared" si="11"/>
        <v>0</v>
      </c>
      <c r="N90" s="152">
        <f t="shared" si="11"/>
        <v>0</v>
      </c>
      <c r="O90" s="152">
        <f t="shared" si="11"/>
        <v>20000</v>
      </c>
      <c r="P90" s="152">
        <f t="shared" si="11"/>
        <v>43778</v>
      </c>
      <c r="Q90" s="152">
        <f t="shared" si="11"/>
        <v>0</v>
      </c>
      <c r="R90" s="150">
        <f t="shared" si="10"/>
        <v>1459429.2</v>
      </c>
    </row>
    <row r="91" spans="1:18" s="147" customFormat="1" ht="21" customHeight="1">
      <c r="A91" s="154">
        <v>534000</v>
      </c>
      <c r="B91" s="152"/>
      <c r="C91" s="158"/>
      <c r="D91" s="156"/>
      <c r="E91" s="155"/>
      <c r="F91" s="156"/>
      <c r="G91" s="155"/>
      <c r="H91" s="152"/>
      <c r="I91" s="155"/>
      <c r="J91" s="155"/>
      <c r="K91" s="150"/>
      <c r="L91" s="155"/>
      <c r="M91" s="155"/>
      <c r="N91" s="155"/>
      <c r="O91" s="150"/>
      <c r="P91" s="150"/>
      <c r="Q91" s="155"/>
      <c r="R91" s="150"/>
    </row>
    <row r="92" spans="1:18" s="147" customFormat="1" ht="21" customHeight="1">
      <c r="A92" s="157">
        <v>340100</v>
      </c>
      <c r="B92" s="149">
        <f>150000-9319.05-7965.01-8124.35-7246.79-6936.75</f>
        <v>110408.05</v>
      </c>
      <c r="C92" s="149">
        <v>0</v>
      </c>
      <c r="D92" s="149">
        <v>0</v>
      </c>
      <c r="E92" s="149">
        <v>0</v>
      </c>
      <c r="F92" s="149">
        <v>0</v>
      </c>
      <c r="G92" s="149">
        <v>0</v>
      </c>
      <c r="H92" s="149">
        <v>0</v>
      </c>
      <c r="I92" s="149">
        <v>0</v>
      </c>
      <c r="J92" s="149">
        <v>0</v>
      </c>
      <c r="K92" s="149">
        <v>0</v>
      </c>
      <c r="L92" s="149">
        <v>0</v>
      </c>
      <c r="M92" s="149">
        <v>0</v>
      </c>
      <c r="N92" s="149">
        <v>0</v>
      </c>
      <c r="O92" s="149">
        <v>0</v>
      </c>
      <c r="P92" s="149">
        <f>150000-16886.31-17814.72-17437.94-18206.58-17441.47</f>
        <v>62212.979999999996</v>
      </c>
      <c r="Q92" s="149">
        <v>0</v>
      </c>
      <c r="R92" s="150">
        <f>SUM(B92:Q92)</f>
        <v>172621.03</v>
      </c>
    </row>
    <row r="93" spans="1:18" s="147" customFormat="1" ht="21" customHeight="1">
      <c r="A93" s="157">
        <v>340300</v>
      </c>
      <c r="B93" s="149">
        <f>10000-413.88-331.54-861.29-395.58</f>
        <v>7997.710000000001</v>
      </c>
      <c r="C93" s="149">
        <v>0</v>
      </c>
      <c r="D93" s="149">
        <v>0</v>
      </c>
      <c r="E93" s="149">
        <v>0</v>
      </c>
      <c r="F93" s="149">
        <v>0</v>
      </c>
      <c r="G93" s="149">
        <v>0</v>
      </c>
      <c r="H93" s="149">
        <v>0</v>
      </c>
      <c r="I93" s="149">
        <v>0</v>
      </c>
      <c r="J93" s="149">
        <v>0</v>
      </c>
      <c r="K93" s="149">
        <v>0</v>
      </c>
      <c r="L93" s="149">
        <v>0</v>
      </c>
      <c r="M93" s="149">
        <v>0</v>
      </c>
      <c r="N93" s="149">
        <v>0</v>
      </c>
      <c r="O93" s="149">
        <v>0</v>
      </c>
      <c r="P93" s="149">
        <v>0</v>
      </c>
      <c r="Q93" s="149">
        <v>0</v>
      </c>
      <c r="R93" s="150">
        <f>SUM(B93:Q93)</f>
        <v>7997.710000000001</v>
      </c>
    </row>
    <row r="94" spans="1:18" s="147" customFormat="1" ht="21" customHeight="1">
      <c r="A94" s="157">
        <v>340400</v>
      </c>
      <c r="B94" s="149">
        <f>7000-931</f>
        <v>6069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50">
        <f>SUM(B94:Q94)</f>
        <v>6069</v>
      </c>
    </row>
    <row r="95" spans="1:18" s="147" customFormat="1" ht="21" customHeight="1">
      <c r="A95" s="157">
        <v>340500</v>
      </c>
      <c r="B95" s="149">
        <f>106000-6955-13910-6955</f>
        <v>78180</v>
      </c>
      <c r="C95" s="149">
        <v>0</v>
      </c>
      <c r="D95" s="149">
        <v>0</v>
      </c>
      <c r="E95" s="149">
        <v>0</v>
      </c>
      <c r="F95" s="149">
        <v>0</v>
      </c>
      <c r="G95" s="149">
        <v>0</v>
      </c>
      <c r="H95" s="149">
        <v>0</v>
      </c>
      <c r="I95" s="149">
        <v>0</v>
      </c>
      <c r="J95" s="149">
        <v>0</v>
      </c>
      <c r="K95" s="149">
        <v>0</v>
      </c>
      <c r="L95" s="149">
        <v>0</v>
      </c>
      <c r="M95" s="149">
        <v>0</v>
      </c>
      <c r="N95" s="149">
        <v>0</v>
      </c>
      <c r="O95" s="149">
        <v>0</v>
      </c>
      <c r="P95" s="149">
        <v>0</v>
      </c>
      <c r="Q95" s="149">
        <v>0</v>
      </c>
      <c r="R95" s="150">
        <f>SUM(B95:Q95)</f>
        <v>78180</v>
      </c>
    </row>
    <row r="96" spans="1:18" s="147" customFormat="1" ht="21" customHeight="1">
      <c r="A96" s="151" t="s">
        <v>17</v>
      </c>
      <c r="B96" s="155">
        <f aca="true" t="shared" si="12" ref="B96:Q96">SUM(B92:B95)</f>
        <v>202654.76</v>
      </c>
      <c r="C96" s="155">
        <f t="shared" si="12"/>
        <v>0</v>
      </c>
      <c r="D96" s="155">
        <f t="shared" si="12"/>
        <v>0</v>
      </c>
      <c r="E96" s="155">
        <f t="shared" si="12"/>
        <v>0</v>
      </c>
      <c r="F96" s="155">
        <f t="shared" si="12"/>
        <v>0</v>
      </c>
      <c r="G96" s="155">
        <f t="shared" si="12"/>
        <v>0</v>
      </c>
      <c r="H96" s="155">
        <f t="shared" si="12"/>
        <v>0</v>
      </c>
      <c r="I96" s="155">
        <f t="shared" si="12"/>
        <v>0</v>
      </c>
      <c r="J96" s="155">
        <f t="shared" si="12"/>
        <v>0</v>
      </c>
      <c r="K96" s="155">
        <f t="shared" si="12"/>
        <v>0</v>
      </c>
      <c r="L96" s="155">
        <f t="shared" si="12"/>
        <v>0</v>
      </c>
      <c r="M96" s="155">
        <f t="shared" si="12"/>
        <v>0</v>
      </c>
      <c r="N96" s="155">
        <f t="shared" si="12"/>
        <v>0</v>
      </c>
      <c r="O96" s="155">
        <f t="shared" si="12"/>
        <v>0</v>
      </c>
      <c r="P96" s="155">
        <f t="shared" si="12"/>
        <v>62212.979999999996</v>
      </c>
      <c r="Q96" s="155">
        <f t="shared" si="12"/>
        <v>0</v>
      </c>
      <c r="R96" s="150">
        <f>SUM(B96:Q96)</f>
        <v>264867.74</v>
      </c>
    </row>
    <row r="97" spans="1:18" s="147" customFormat="1" ht="21" customHeight="1">
      <c r="A97" s="165"/>
      <c r="B97" s="169"/>
      <c r="C97" s="164"/>
      <c r="D97" s="164"/>
      <c r="E97" s="164"/>
      <c r="F97" s="164"/>
      <c r="G97" s="164"/>
      <c r="H97" s="169"/>
      <c r="I97" s="169"/>
      <c r="J97" s="164"/>
      <c r="K97" s="164"/>
      <c r="L97" s="164"/>
      <c r="M97" s="164"/>
      <c r="N97" s="169"/>
      <c r="O97" s="169"/>
      <c r="P97" s="169"/>
      <c r="Q97" s="169"/>
      <c r="R97" s="429"/>
    </row>
    <row r="98" spans="1:18" s="147" customFormat="1" ht="21" customHeight="1">
      <c r="A98" s="162"/>
      <c r="B98" s="164"/>
      <c r="C98" s="164"/>
      <c r="D98" s="575" t="s">
        <v>7</v>
      </c>
      <c r="E98" s="575"/>
      <c r="F98" s="166"/>
      <c r="G98" s="166"/>
      <c r="H98" s="164"/>
      <c r="I98" s="164"/>
      <c r="J98" s="569" t="s">
        <v>97</v>
      </c>
      <c r="K98" s="569"/>
      <c r="L98" s="569"/>
      <c r="M98" s="569"/>
      <c r="N98" s="164"/>
      <c r="O98" s="164"/>
      <c r="P98" s="164"/>
      <c r="Q98" s="164"/>
      <c r="R98" s="164"/>
    </row>
    <row r="99" spans="1:18" s="147" customFormat="1" ht="21" customHeight="1">
      <c r="A99" s="162"/>
      <c r="B99" s="164"/>
      <c r="C99" s="164"/>
      <c r="D99" s="166"/>
      <c r="E99" s="166"/>
      <c r="F99" s="166"/>
      <c r="G99" s="166"/>
      <c r="H99" s="164"/>
      <c r="I99" s="164"/>
      <c r="J99" s="85"/>
      <c r="K99" s="85"/>
      <c r="L99" s="85"/>
      <c r="M99" s="85"/>
      <c r="N99" s="164"/>
      <c r="O99" s="164"/>
      <c r="P99" s="164"/>
      <c r="Q99" s="164"/>
      <c r="R99" s="164"/>
    </row>
    <row r="100" spans="1:18" s="147" customFormat="1" ht="21">
      <c r="A100" s="162"/>
      <c r="B100" s="164"/>
      <c r="C100" s="164"/>
      <c r="D100" s="166"/>
      <c r="E100" s="166"/>
      <c r="F100" s="166"/>
      <c r="G100" s="166"/>
      <c r="H100" s="164"/>
      <c r="I100" s="164"/>
      <c r="J100" s="85"/>
      <c r="K100" s="75"/>
      <c r="L100" s="75"/>
      <c r="M100" s="75"/>
      <c r="N100" s="164"/>
      <c r="O100" s="164"/>
      <c r="P100" s="164"/>
      <c r="Q100" s="164"/>
      <c r="R100" s="164"/>
    </row>
    <row r="101" spans="1:18" s="147" customFormat="1" ht="21" customHeight="1">
      <c r="A101" s="162"/>
      <c r="B101" s="164"/>
      <c r="C101" s="164"/>
      <c r="D101" s="575" t="s">
        <v>116</v>
      </c>
      <c r="E101" s="575"/>
      <c r="F101" s="166"/>
      <c r="G101" s="166"/>
      <c r="H101" s="164"/>
      <c r="I101" s="164"/>
      <c r="J101" s="569" t="s">
        <v>269</v>
      </c>
      <c r="K101" s="569"/>
      <c r="L101" s="569"/>
      <c r="M101" s="569"/>
      <c r="N101" s="164"/>
      <c r="O101" s="164"/>
      <c r="P101" s="164"/>
      <c r="Q101" s="164"/>
      <c r="R101" s="164"/>
    </row>
    <row r="102" spans="1:18" s="170" customFormat="1" ht="21" customHeight="1">
      <c r="A102" s="165"/>
      <c r="B102" s="164"/>
      <c r="C102" s="164"/>
      <c r="D102" s="575" t="s">
        <v>281</v>
      </c>
      <c r="E102" s="575"/>
      <c r="F102" s="166"/>
      <c r="G102" s="166"/>
      <c r="H102" s="164"/>
      <c r="I102" s="164"/>
      <c r="J102" s="569" t="s">
        <v>96</v>
      </c>
      <c r="K102" s="569"/>
      <c r="L102" s="569"/>
      <c r="M102" s="569"/>
      <c r="N102" s="164"/>
      <c r="O102" s="164"/>
      <c r="P102" s="164"/>
      <c r="Q102" s="164"/>
      <c r="R102" s="164"/>
    </row>
    <row r="103" spans="1:18" s="170" customFormat="1" ht="21" customHeight="1">
      <c r="A103" s="165"/>
      <c r="B103" s="164"/>
      <c r="C103" s="164"/>
      <c r="D103" s="166"/>
      <c r="E103" s="166"/>
      <c r="F103" s="166"/>
      <c r="G103" s="166"/>
      <c r="H103" s="164"/>
      <c r="I103" s="164"/>
      <c r="J103" s="569"/>
      <c r="K103" s="569"/>
      <c r="L103" s="569"/>
      <c r="M103" s="569"/>
      <c r="N103" s="164"/>
      <c r="O103" s="164"/>
      <c r="P103" s="164"/>
      <c r="Q103" s="164"/>
      <c r="R103" s="164"/>
    </row>
    <row r="104" spans="1:18" s="170" customFormat="1" ht="21" customHeight="1">
      <c r="A104" s="165"/>
      <c r="B104" s="164"/>
      <c r="C104" s="164"/>
      <c r="D104" s="166"/>
      <c r="E104" s="166"/>
      <c r="F104" s="166"/>
      <c r="G104" s="166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1:18" s="170" customFormat="1" ht="21" customHeight="1">
      <c r="A105" s="165"/>
      <c r="B105" s="164"/>
      <c r="C105" s="164"/>
      <c r="D105" s="166"/>
      <c r="E105" s="166"/>
      <c r="F105" s="166"/>
      <c r="G105" s="166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1:18" s="170" customFormat="1" ht="21" customHeight="1">
      <c r="A106" s="165"/>
      <c r="B106" s="164"/>
      <c r="C106" s="164"/>
      <c r="D106" s="166"/>
      <c r="E106" s="166"/>
      <c r="F106" s="166"/>
      <c r="G106" s="166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1:18" s="170" customFormat="1" ht="21" customHeight="1">
      <c r="A107" s="165"/>
      <c r="B107" s="164"/>
      <c r="C107" s="164"/>
      <c r="D107" s="166"/>
      <c r="E107" s="166"/>
      <c r="F107" s="166"/>
      <c r="G107" s="166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1:18" s="170" customFormat="1" ht="21" customHeight="1">
      <c r="A108" s="165"/>
      <c r="B108" s="164"/>
      <c r="C108" s="164"/>
      <c r="D108" s="166"/>
      <c r="E108" s="166"/>
      <c r="F108" s="166"/>
      <c r="G108" s="166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</row>
    <row r="109" spans="1:18" s="170" customFormat="1" ht="21" customHeight="1">
      <c r="A109" s="165"/>
      <c r="B109" s="164"/>
      <c r="C109" s="164"/>
      <c r="D109" s="166"/>
      <c r="E109" s="166"/>
      <c r="F109" s="166"/>
      <c r="G109" s="166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1:18" s="170" customFormat="1" ht="21" customHeight="1">
      <c r="A110" s="165"/>
      <c r="B110" s="164"/>
      <c r="C110" s="164"/>
      <c r="D110" s="166"/>
      <c r="E110" s="166"/>
      <c r="F110" s="166"/>
      <c r="G110" s="166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</row>
    <row r="111" spans="1:18" s="147" customFormat="1" ht="21" customHeight="1" thickBot="1">
      <c r="A111" s="579" t="s">
        <v>204</v>
      </c>
      <c r="B111" s="579"/>
      <c r="C111" s="579"/>
      <c r="D111" s="579"/>
      <c r="E111" s="579"/>
      <c r="F111" s="579"/>
      <c r="G111" s="579"/>
      <c r="H111" s="579"/>
      <c r="I111" s="579"/>
      <c r="J111" s="579"/>
      <c r="K111" s="579"/>
      <c r="L111" s="579"/>
      <c r="M111" s="579"/>
      <c r="N111" s="579"/>
      <c r="O111" s="579"/>
      <c r="P111" s="579"/>
      <c r="Q111" s="579"/>
      <c r="R111" s="579"/>
    </row>
    <row r="112" spans="1:18" s="133" customFormat="1" ht="21" customHeight="1">
      <c r="A112" s="128" t="s">
        <v>14</v>
      </c>
      <c r="B112" s="576" t="s">
        <v>78</v>
      </c>
      <c r="C112" s="577"/>
      <c r="D112" s="578"/>
      <c r="E112" s="490" t="s">
        <v>81</v>
      </c>
      <c r="F112" s="490" t="s">
        <v>87</v>
      </c>
      <c r="G112" s="129" t="s">
        <v>88</v>
      </c>
      <c r="H112" s="130" t="s">
        <v>91</v>
      </c>
      <c r="I112" s="576" t="s">
        <v>82</v>
      </c>
      <c r="J112" s="578"/>
      <c r="K112" s="131" t="s">
        <v>92</v>
      </c>
      <c r="L112" s="576" t="s">
        <v>83</v>
      </c>
      <c r="M112" s="577"/>
      <c r="N112" s="578"/>
      <c r="O112" s="131" t="s">
        <v>95</v>
      </c>
      <c r="P112" s="131" t="s">
        <v>111</v>
      </c>
      <c r="Q112" s="129" t="s">
        <v>76</v>
      </c>
      <c r="R112" s="132" t="s">
        <v>15</v>
      </c>
    </row>
    <row r="113" spans="1:18" s="133" customFormat="1" ht="21" customHeight="1" thickBot="1">
      <c r="A113" s="134" t="s">
        <v>16</v>
      </c>
      <c r="B113" s="136" t="s">
        <v>79</v>
      </c>
      <c r="C113" s="137" t="s">
        <v>323</v>
      </c>
      <c r="D113" s="137" t="s">
        <v>80</v>
      </c>
      <c r="E113" s="135" t="s">
        <v>72</v>
      </c>
      <c r="F113" s="136" t="s">
        <v>106</v>
      </c>
      <c r="G113" s="136" t="s">
        <v>89</v>
      </c>
      <c r="H113" s="139" t="s">
        <v>263</v>
      </c>
      <c r="I113" s="135" t="s">
        <v>74</v>
      </c>
      <c r="J113" s="135" t="s">
        <v>75</v>
      </c>
      <c r="K113" s="140" t="s">
        <v>262</v>
      </c>
      <c r="L113" s="423" t="s">
        <v>127</v>
      </c>
      <c r="M113" s="137" t="s">
        <v>84</v>
      </c>
      <c r="N113" s="138" t="s">
        <v>85</v>
      </c>
      <c r="O113" s="140" t="s">
        <v>94</v>
      </c>
      <c r="P113" s="140" t="s">
        <v>112</v>
      </c>
      <c r="Q113" s="135" t="s">
        <v>77</v>
      </c>
      <c r="R113" s="141"/>
    </row>
    <row r="114" spans="1:18" s="147" customFormat="1" ht="21" customHeight="1">
      <c r="A114" s="154">
        <v>541000</v>
      </c>
      <c r="B114" s="152"/>
      <c r="C114" s="158"/>
      <c r="D114" s="156"/>
      <c r="E114" s="155"/>
      <c r="F114" s="156"/>
      <c r="G114" s="155"/>
      <c r="H114" s="152"/>
      <c r="I114" s="155"/>
      <c r="J114" s="155"/>
      <c r="K114" s="150"/>
      <c r="L114" s="150"/>
      <c r="M114" s="155"/>
      <c r="N114" s="155"/>
      <c r="O114" s="150"/>
      <c r="P114" s="150"/>
      <c r="Q114" s="155"/>
      <c r="R114" s="150"/>
    </row>
    <row r="115" spans="1:18" s="147" customFormat="1" ht="21" customHeight="1">
      <c r="A115" s="168">
        <v>410100</v>
      </c>
      <c r="B115" s="149">
        <f>15000+5000</f>
        <v>20000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50">
        <f aca="true" t="shared" si="13" ref="R115:R124">SUM(B115:Q115)</f>
        <v>20000</v>
      </c>
    </row>
    <row r="116" spans="1:18" s="147" customFormat="1" ht="21" customHeight="1">
      <c r="A116" s="157">
        <v>410300</v>
      </c>
      <c r="B116" s="149">
        <v>0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0</v>
      </c>
      <c r="J116" s="149">
        <v>0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50">
        <f t="shared" si="13"/>
        <v>0</v>
      </c>
    </row>
    <row r="117" spans="1:18" s="147" customFormat="1" ht="21" customHeight="1">
      <c r="A117" s="157">
        <v>410400</v>
      </c>
      <c r="B117" s="149">
        <v>0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0</v>
      </c>
      <c r="Q117" s="149">
        <v>0</v>
      </c>
      <c r="R117" s="150">
        <f t="shared" si="13"/>
        <v>0</v>
      </c>
    </row>
    <row r="118" spans="1:18" s="147" customFormat="1" ht="21" customHeight="1">
      <c r="A118" s="157">
        <v>410600</v>
      </c>
      <c r="B118" s="149">
        <v>0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0</v>
      </c>
      <c r="Q118" s="149">
        <v>0</v>
      </c>
      <c r="R118" s="150">
        <f t="shared" si="13"/>
        <v>0</v>
      </c>
    </row>
    <row r="119" spans="1:18" s="147" customFormat="1" ht="21" customHeight="1">
      <c r="A119" s="157">
        <v>410700</v>
      </c>
      <c r="B119" s="149">
        <f>525000+27000</f>
        <v>552000</v>
      </c>
      <c r="C119" s="149">
        <v>0</v>
      </c>
      <c r="D119" s="149">
        <v>0</v>
      </c>
      <c r="E119" s="149">
        <v>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50">
        <f t="shared" si="13"/>
        <v>552000</v>
      </c>
    </row>
    <row r="120" spans="1:18" s="147" customFormat="1" ht="21" customHeight="1">
      <c r="A120" s="157">
        <v>410800</v>
      </c>
      <c r="B120" s="149"/>
      <c r="C120" s="149">
        <v>0</v>
      </c>
      <c r="D120" s="149">
        <v>0</v>
      </c>
      <c r="E120" s="149">
        <v>0</v>
      </c>
      <c r="F120" s="149">
        <v>0</v>
      </c>
      <c r="G120" s="149">
        <v>0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50">
        <f t="shared" si="13"/>
        <v>0</v>
      </c>
    </row>
    <row r="121" spans="1:18" s="147" customFormat="1" ht="21" customHeight="1">
      <c r="A121" s="157">
        <v>411600</v>
      </c>
      <c r="B121" s="149">
        <v>0</v>
      </c>
      <c r="C121" s="149">
        <v>0</v>
      </c>
      <c r="D121" s="149">
        <v>25500</v>
      </c>
      <c r="E121" s="149"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49">
        <v>0</v>
      </c>
      <c r="Q121" s="149">
        <v>0</v>
      </c>
      <c r="R121" s="150">
        <f t="shared" si="13"/>
        <v>25500</v>
      </c>
    </row>
    <row r="122" spans="1:18" s="147" customFormat="1" ht="21" customHeight="1">
      <c r="A122" s="157">
        <v>411700</v>
      </c>
      <c r="B122" s="149">
        <v>0</v>
      </c>
      <c r="C122" s="149">
        <v>0</v>
      </c>
      <c r="D122" s="149">
        <v>0</v>
      </c>
      <c r="E122" s="149">
        <v>0</v>
      </c>
      <c r="F122" s="149">
        <v>0</v>
      </c>
      <c r="G122" s="149">
        <v>0</v>
      </c>
      <c r="H122" s="149">
        <v>0</v>
      </c>
      <c r="I122" s="149">
        <v>6500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50">
        <f>SUM(B122:Q122)</f>
        <v>6500</v>
      </c>
    </row>
    <row r="123" spans="1:18" s="147" customFormat="1" ht="21" customHeight="1">
      <c r="A123" s="157">
        <v>411800</v>
      </c>
      <c r="B123" s="149">
        <f>100000-27300-30548.5</f>
        <v>42151.5</v>
      </c>
      <c r="C123" s="149">
        <v>0</v>
      </c>
      <c r="D123" s="149">
        <v>30000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50">
        <f t="shared" si="13"/>
        <v>72151.5</v>
      </c>
    </row>
    <row r="124" spans="1:18" s="147" customFormat="1" ht="21" customHeight="1">
      <c r="A124" s="151" t="s">
        <v>17</v>
      </c>
      <c r="B124" s="155">
        <f aca="true" t="shared" si="14" ref="B124:Q124">SUM(B115:B123)</f>
        <v>614151.5</v>
      </c>
      <c r="C124" s="155">
        <f t="shared" si="14"/>
        <v>0</v>
      </c>
      <c r="D124" s="155">
        <f t="shared" si="14"/>
        <v>55500</v>
      </c>
      <c r="E124" s="155">
        <f t="shared" si="14"/>
        <v>0</v>
      </c>
      <c r="F124" s="155">
        <f t="shared" si="14"/>
        <v>0</v>
      </c>
      <c r="G124" s="155">
        <f t="shared" si="14"/>
        <v>0</v>
      </c>
      <c r="H124" s="155">
        <f t="shared" si="14"/>
        <v>0</v>
      </c>
      <c r="I124" s="155">
        <f t="shared" si="14"/>
        <v>6500</v>
      </c>
      <c r="J124" s="155">
        <f t="shared" si="14"/>
        <v>0</v>
      </c>
      <c r="K124" s="155">
        <f t="shared" si="14"/>
        <v>0</v>
      </c>
      <c r="L124" s="155">
        <f t="shared" si="14"/>
        <v>0</v>
      </c>
      <c r="M124" s="155">
        <f t="shared" si="14"/>
        <v>0</v>
      </c>
      <c r="N124" s="155">
        <f t="shared" si="14"/>
        <v>0</v>
      </c>
      <c r="O124" s="155">
        <f t="shared" si="14"/>
        <v>0</v>
      </c>
      <c r="P124" s="155">
        <f t="shared" si="14"/>
        <v>0</v>
      </c>
      <c r="Q124" s="155">
        <f t="shared" si="14"/>
        <v>0</v>
      </c>
      <c r="R124" s="150">
        <f t="shared" si="13"/>
        <v>676151.5</v>
      </c>
    </row>
    <row r="125" spans="1:18" s="147" customFormat="1" ht="21" customHeight="1">
      <c r="A125" s="154">
        <v>542000</v>
      </c>
      <c r="B125" s="152"/>
      <c r="C125" s="158"/>
      <c r="D125" s="156"/>
      <c r="E125" s="155"/>
      <c r="F125" s="156"/>
      <c r="G125" s="155"/>
      <c r="H125" s="152"/>
      <c r="I125" s="155"/>
      <c r="J125" s="155"/>
      <c r="K125" s="150"/>
      <c r="L125" s="155"/>
      <c r="M125" s="155"/>
      <c r="N125" s="155"/>
      <c r="O125" s="150"/>
      <c r="P125" s="150"/>
      <c r="Q125" s="155"/>
      <c r="R125" s="150"/>
    </row>
    <row r="126" spans="1:18" s="147" customFormat="1" ht="18.75">
      <c r="A126" s="151">
        <v>420900</v>
      </c>
      <c r="B126" s="152">
        <v>0</v>
      </c>
      <c r="C126" s="152">
        <v>0</v>
      </c>
      <c r="D126" s="152">
        <v>0</v>
      </c>
      <c r="E126" s="152">
        <v>0</v>
      </c>
      <c r="F126" s="152">
        <v>0</v>
      </c>
      <c r="G126" s="152">
        <v>0</v>
      </c>
      <c r="H126" s="152">
        <v>0</v>
      </c>
      <c r="I126" s="152">
        <f>65000+65000+40700+199000+97500+93000+70000</f>
        <v>630200</v>
      </c>
      <c r="J126" s="152">
        <v>0</v>
      </c>
      <c r="K126" s="152">
        <v>0</v>
      </c>
      <c r="L126" s="152">
        <v>0</v>
      </c>
      <c r="M126" s="152">
        <v>0</v>
      </c>
      <c r="N126" s="152">
        <v>0</v>
      </c>
      <c r="O126" s="152">
        <v>0</v>
      </c>
      <c r="P126" s="152">
        <v>0</v>
      </c>
      <c r="Q126" s="152">
        <v>0</v>
      </c>
      <c r="R126" s="150">
        <f>SUM(B126:Q126)</f>
        <v>630200</v>
      </c>
    </row>
    <row r="127" spans="1:18" s="147" customFormat="1" ht="18.75">
      <c r="A127" s="151">
        <v>421000</v>
      </c>
      <c r="B127" s="152">
        <v>0</v>
      </c>
      <c r="C127" s="152">
        <v>0</v>
      </c>
      <c r="D127" s="152">
        <v>0</v>
      </c>
      <c r="E127" s="152">
        <v>0</v>
      </c>
      <c r="F127" s="152">
        <v>0</v>
      </c>
      <c r="G127" s="152">
        <v>0</v>
      </c>
      <c r="H127" s="152">
        <v>0</v>
      </c>
      <c r="I127" s="152">
        <v>400000</v>
      </c>
      <c r="J127" s="152">
        <v>1849900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90000</v>
      </c>
      <c r="Q127" s="152">
        <v>0</v>
      </c>
      <c r="R127" s="150">
        <f>SUM(B127:Q127)</f>
        <v>2339900</v>
      </c>
    </row>
    <row r="128" spans="1:18" s="147" customFormat="1" ht="21" customHeight="1">
      <c r="A128" s="151" t="s">
        <v>17</v>
      </c>
      <c r="B128" s="155">
        <f aca="true" t="shared" si="15" ref="B128:Q128">SUM(B126:B127)</f>
        <v>0</v>
      </c>
      <c r="C128" s="155">
        <f t="shared" si="15"/>
        <v>0</v>
      </c>
      <c r="D128" s="155">
        <f t="shared" si="15"/>
        <v>0</v>
      </c>
      <c r="E128" s="155">
        <f t="shared" si="15"/>
        <v>0</v>
      </c>
      <c r="F128" s="155">
        <f t="shared" si="15"/>
        <v>0</v>
      </c>
      <c r="G128" s="155">
        <f t="shared" si="15"/>
        <v>0</v>
      </c>
      <c r="H128" s="155">
        <f t="shared" si="15"/>
        <v>0</v>
      </c>
      <c r="I128" s="155">
        <f t="shared" si="15"/>
        <v>1030200</v>
      </c>
      <c r="J128" s="155">
        <f t="shared" si="15"/>
        <v>1849900</v>
      </c>
      <c r="K128" s="155">
        <f t="shared" si="15"/>
        <v>0</v>
      </c>
      <c r="L128" s="155">
        <f t="shared" si="15"/>
        <v>0</v>
      </c>
      <c r="M128" s="155">
        <f t="shared" si="15"/>
        <v>0</v>
      </c>
      <c r="N128" s="155">
        <f t="shared" si="15"/>
        <v>0</v>
      </c>
      <c r="O128" s="155">
        <f t="shared" si="15"/>
        <v>0</v>
      </c>
      <c r="P128" s="155">
        <f t="shared" si="15"/>
        <v>90000</v>
      </c>
      <c r="Q128" s="155">
        <f t="shared" si="15"/>
        <v>0</v>
      </c>
      <c r="R128" s="150">
        <f>SUM(B128:Q128)</f>
        <v>2970100</v>
      </c>
    </row>
    <row r="129" spans="1:18" s="147" customFormat="1" ht="21" customHeight="1">
      <c r="A129" s="154">
        <v>551000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0"/>
    </row>
    <row r="130" spans="1:18" s="147" customFormat="1" ht="21" customHeight="1">
      <c r="A130" s="157">
        <v>510100</v>
      </c>
      <c r="B130" s="149">
        <v>0</v>
      </c>
      <c r="C130" s="149">
        <v>25000</v>
      </c>
      <c r="D130" s="149">
        <v>0</v>
      </c>
      <c r="E130" s="149">
        <v>0</v>
      </c>
      <c r="F130" s="149">
        <v>20000</v>
      </c>
      <c r="G130" s="149">
        <v>0</v>
      </c>
      <c r="H130" s="149">
        <v>0</v>
      </c>
      <c r="I130" s="149">
        <v>0</v>
      </c>
      <c r="J130" s="149">
        <v>0</v>
      </c>
      <c r="K130" s="149">
        <f>10000-3500</f>
        <v>6500</v>
      </c>
      <c r="L130" s="149">
        <v>0</v>
      </c>
      <c r="M130" s="149">
        <v>0</v>
      </c>
      <c r="N130" s="149">
        <v>0</v>
      </c>
      <c r="O130" s="149">
        <v>15000</v>
      </c>
      <c r="P130" s="149">
        <v>0</v>
      </c>
      <c r="Q130" s="149">
        <v>0</v>
      </c>
      <c r="R130" s="150">
        <f>SUM(B130:Q130)</f>
        <v>66500</v>
      </c>
    </row>
    <row r="131" spans="1:18" s="147" customFormat="1" ht="21" customHeight="1">
      <c r="A131" s="151" t="s">
        <v>17</v>
      </c>
      <c r="B131" s="152">
        <f aca="true" t="shared" si="16" ref="B131:Q131">SUM(B130)</f>
        <v>0</v>
      </c>
      <c r="C131" s="152">
        <f t="shared" si="16"/>
        <v>25000</v>
      </c>
      <c r="D131" s="152">
        <f t="shared" si="16"/>
        <v>0</v>
      </c>
      <c r="E131" s="152">
        <f t="shared" si="16"/>
        <v>0</v>
      </c>
      <c r="F131" s="152">
        <f t="shared" si="16"/>
        <v>20000</v>
      </c>
      <c r="G131" s="152">
        <f t="shared" si="16"/>
        <v>0</v>
      </c>
      <c r="H131" s="152">
        <f t="shared" si="16"/>
        <v>0</v>
      </c>
      <c r="I131" s="152">
        <f t="shared" si="16"/>
        <v>0</v>
      </c>
      <c r="J131" s="152">
        <f t="shared" si="16"/>
        <v>0</v>
      </c>
      <c r="K131" s="152">
        <f t="shared" si="16"/>
        <v>6500</v>
      </c>
      <c r="L131" s="152">
        <f t="shared" si="16"/>
        <v>0</v>
      </c>
      <c r="M131" s="152">
        <f t="shared" si="16"/>
        <v>0</v>
      </c>
      <c r="N131" s="152">
        <f t="shared" si="16"/>
        <v>0</v>
      </c>
      <c r="O131" s="152">
        <f t="shared" si="16"/>
        <v>15000</v>
      </c>
      <c r="P131" s="152">
        <f t="shared" si="16"/>
        <v>0</v>
      </c>
      <c r="Q131" s="152">
        <f t="shared" si="16"/>
        <v>0</v>
      </c>
      <c r="R131" s="150">
        <f>SUM(B131:Q131)</f>
        <v>66500</v>
      </c>
    </row>
    <row r="132" spans="1:18" s="147" customFormat="1" ht="21" customHeight="1">
      <c r="A132" s="154">
        <v>561000</v>
      </c>
      <c r="B132" s="152"/>
      <c r="C132" s="158"/>
      <c r="D132" s="156"/>
      <c r="E132" s="155"/>
      <c r="F132" s="156"/>
      <c r="G132" s="155"/>
      <c r="H132" s="152"/>
      <c r="I132" s="155"/>
      <c r="J132" s="155"/>
      <c r="K132" s="150"/>
      <c r="L132" s="155"/>
      <c r="M132" s="155"/>
      <c r="N132" s="155"/>
      <c r="O132" s="150" t="s">
        <v>324</v>
      </c>
      <c r="P132" s="150"/>
      <c r="Q132" s="155"/>
      <c r="R132" s="150"/>
    </row>
    <row r="133" spans="1:18" s="147" customFormat="1" ht="21" customHeight="1">
      <c r="A133" s="157">
        <v>610100</v>
      </c>
      <c r="B133" s="149">
        <f>10000-10000</f>
        <v>0</v>
      </c>
      <c r="C133" s="149">
        <v>0</v>
      </c>
      <c r="D133" s="149">
        <v>0</v>
      </c>
      <c r="E133" s="149">
        <v>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50">
        <f>SUM(B133:Q133)</f>
        <v>0</v>
      </c>
    </row>
    <row r="134" spans="1:18" s="147" customFormat="1" ht="21" customHeight="1">
      <c r="A134" s="157">
        <v>610200</v>
      </c>
      <c r="B134" s="149">
        <v>0</v>
      </c>
      <c r="C134" s="149">
        <v>0</v>
      </c>
      <c r="D134" s="149">
        <v>0</v>
      </c>
      <c r="E134" s="149">
        <v>0</v>
      </c>
      <c r="F134" s="149">
        <f>829400-410800</f>
        <v>418600</v>
      </c>
      <c r="G134" s="149">
        <v>0</v>
      </c>
      <c r="H134" s="149">
        <v>0</v>
      </c>
      <c r="I134" s="149">
        <v>0</v>
      </c>
      <c r="J134" s="149">
        <v>0</v>
      </c>
      <c r="K134" s="149">
        <v>32000</v>
      </c>
      <c r="L134" s="149">
        <v>0</v>
      </c>
      <c r="M134" s="149">
        <v>0</v>
      </c>
      <c r="N134" s="149">
        <f>10000-5000</f>
        <v>5000</v>
      </c>
      <c r="O134" s="149">
        <v>0</v>
      </c>
      <c r="P134" s="149">
        <v>0</v>
      </c>
      <c r="Q134" s="149">
        <v>0</v>
      </c>
      <c r="R134" s="150">
        <f>SUM(B134:Q134)</f>
        <v>455600</v>
      </c>
    </row>
    <row r="135" spans="1:18" s="147" customFormat="1" ht="21" customHeight="1">
      <c r="A135" s="157">
        <v>610400</v>
      </c>
      <c r="B135" s="149">
        <v>0</v>
      </c>
      <c r="C135" s="149">
        <v>0</v>
      </c>
      <c r="D135" s="149">
        <v>0</v>
      </c>
      <c r="E135" s="149">
        <v>0</v>
      </c>
      <c r="F135" s="149">
        <v>0</v>
      </c>
      <c r="G135" s="149">
        <v>80000</v>
      </c>
      <c r="H135" s="149">
        <v>0</v>
      </c>
      <c r="I135" s="149">
        <v>0</v>
      </c>
      <c r="J135" s="149">
        <v>0</v>
      </c>
      <c r="K135" s="149">
        <v>0</v>
      </c>
      <c r="L135" s="149">
        <v>0</v>
      </c>
      <c r="M135" s="149">
        <v>0</v>
      </c>
      <c r="N135" s="149">
        <v>0</v>
      </c>
      <c r="O135" s="149">
        <v>0</v>
      </c>
      <c r="P135" s="149">
        <v>0</v>
      </c>
      <c r="Q135" s="149">
        <v>0</v>
      </c>
      <c r="R135" s="150">
        <f>SUM(B135:Q135)</f>
        <v>80000</v>
      </c>
    </row>
    <row r="136" spans="1:18" s="147" customFormat="1" ht="21" customHeight="1">
      <c r="A136" s="151" t="s">
        <v>17</v>
      </c>
      <c r="B136" s="155">
        <f>SUM(B133:B135)</f>
        <v>0</v>
      </c>
      <c r="C136" s="155">
        <f aca="true" t="shared" si="17" ref="C136:Q136">SUM(C133:C135)</f>
        <v>0</v>
      </c>
      <c r="D136" s="155">
        <f t="shared" si="17"/>
        <v>0</v>
      </c>
      <c r="E136" s="155">
        <f t="shared" si="17"/>
        <v>0</v>
      </c>
      <c r="F136" s="155">
        <f t="shared" si="17"/>
        <v>418600</v>
      </c>
      <c r="G136" s="155">
        <f t="shared" si="17"/>
        <v>80000</v>
      </c>
      <c r="H136" s="155">
        <f t="shared" si="17"/>
        <v>0</v>
      </c>
      <c r="I136" s="155">
        <f t="shared" si="17"/>
        <v>0</v>
      </c>
      <c r="J136" s="155">
        <f t="shared" si="17"/>
        <v>0</v>
      </c>
      <c r="K136" s="155">
        <f t="shared" si="17"/>
        <v>32000</v>
      </c>
      <c r="L136" s="155">
        <f t="shared" si="17"/>
        <v>0</v>
      </c>
      <c r="M136" s="155">
        <f t="shared" si="17"/>
        <v>0</v>
      </c>
      <c r="N136" s="155">
        <f t="shared" si="17"/>
        <v>5000</v>
      </c>
      <c r="O136" s="155">
        <f t="shared" si="17"/>
        <v>0</v>
      </c>
      <c r="P136" s="155">
        <f t="shared" si="17"/>
        <v>0</v>
      </c>
      <c r="Q136" s="155">
        <f t="shared" si="17"/>
        <v>0</v>
      </c>
      <c r="R136" s="150">
        <f>SUM(B136:Q136)</f>
        <v>535600</v>
      </c>
    </row>
    <row r="137" spans="1:18" s="427" customFormat="1" ht="21" customHeight="1">
      <c r="A137" s="151" t="s">
        <v>69</v>
      </c>
      <c r="B137" s="155">
        <f aca="true" t="shared" si="18" ref="B137:Q137">B14+B21+B29+B49+B56+B90+B96+B124+B128+B131+B136</f>
        <v>4512410.26</v>
      </c>
      <c r="C137" s="155">
        <f t="shared" si="18"/>
        <v>44500</v>
      </c>
      <c r="D137" s="155">
        <f t="shared" si="18"/>
        <v>1115917.2</v>
      </c>
      <c r="E137" s="155">
        <f t="shared" si="18"/>
        <v>146800</v>
      </c>
      <c r="F137" s="155">
        <f t="shared" si="18"/>
        <v>1667540</v>
      </c>
      <c r="G137" s="155">
        <f t="shared" si="18"/>
        <v>137400</v>
      </c>
      <c r="H137" s="155">
        <f t="shared" si="18"/>
        <v>25000</v>
      </c>
      <c r="I137" s="155">
        <f t="shared" si="18"/>
        <v>2074913</v>
      </c>
      <c r="J137" s="155">
        <f t="shared" si="18"/>
        <v>1849900</v>
      </c>
      <c r="K137" s="155">
        <f t="shared" si="18"/>
        <v>38500</v>
      </c>
      <c r="L137" s="155">
        <f t="shared" si="18"/>
        <v>132535.54</v>
      </c>
      <c r="M137" s="155">
        <f t="shared" si="18"/>
        <v>40000</v>
      </c>
      <c r="N137" s="155">
        <f t="shared" si="18"/>
        <v>5000</v>
      </c>
      <c r="O137" s="155">
        <f t="shared" si="18"/>
        <v>35000</v>
      </c>
      <c r="P137" s="155">
        <f t="shared" si="18"/>
        <v>269990.98</v>
      </c>
      <c r="Q137" s="155">
        <f t="shared" si="18"/>
        <v>886361</v>
      </c>
      <c r="R137" s="150">
        <f>SUM(B137:Q137)</f>
        <v>12981767.98</v>
      </c>
    </row>
    <row r="138" spans="1:18" s="431" customFormat="1" ht="21" customHeight="1">
      <c r="A138" s="430"/>
      <c r="B138" s="169"/>
      <c r="C138" s="164"/>
      <c r="D138" s="164"/>
      <c r="E138" s="164"/>
      <c r="F138" s="164"/>
      <c r="G138" s="164"/>
      <c r="H138" s="169"/>
      <c r="I138" s="169"/>
      <c r="J138" s="164"/>
      <c r="K138" s="164"/>
      <c r="L138" s="164"/>
      <c r="M138" s="164"/>
      <c r="N138" s="169"/>
      <c r="O138" s="169"/>
      <c r="P138" s="169"/>
      <c r="Q138" s="169"/>
      <c r="R138" s="429"/>
    </row>
    <row r="139" spans="1:18" s="147" customFormat="1" ht="21" customHeight="1">
      <c r="A139" s="162"/>
      <c r="B139" s="164"/>
      <c r="C139" s="164"/>
      <c r="D139" s="575" t="s">
        <v>7</v>
      </c>
      <c r="E139" s="575"/>
      <c r="F139" s="166"/>
      <c r="G139" s="166"/>
      <c r="H139" s="164"/>
      <c r="I139" s="164"/>
      <c r="J139" s="569" t="s">
        <v>97</v>
      </c>
      <c r="K139" s="569"/>
      <c r="L139" s="569"/>
      <c r="M139" s="569"/>
      <c r="N139" s="164"/>
      <c r="O139" s="164"/>
      <c r="P139" s="164"/>
      <c r="Q139" s="164"/>
      <c r="R139" s="164"/>
    </row>
    <row r="140" spans="1:18" s="147" customFormat="1" ht="21" customHeight="1">
      <c r="A140" s="162"/>
      <c r="B140" s="164"/>
      <c r="C140" s="164"/>
      <c r="D140" s="166"/>
      <c r="E140" s="166"/>
      <c r="F140" s="166"/>
      <c r="G140" s="166"/>
      <c r="H140" s="164"/>
      <c r="I140" s="164"/>
      <c r="J140" s="85"/>
      <c r="K140" s="85"/>
      <c r="L140" s="85"/>
      <c r="M140" s="85"/>
      <c r="N140" s="164"/>
      <c r="O140" s="164"/>
      <c r="P140" s="164"/>
      <c r="Q140" s="164"/>
      <c r="R140" s="164"/>
    </row>
    <row r="141" spans="1:18" s="147" customFormat="1" ht="21">
      <c r="A141" s="162"/>
      <c r="B141" s="164"/>
      <c r="C141" s="164"/>
      <c r="D141" s="166"/>
      <c r="E141" s="166"/>
      <c r="F141" s="166"/>
      <c r="G141" s="166"/>
      <c r="H141" s="164"/>
      <c r="I141" s="164"/>
      <c r="J141" s="85"/>
      <c r="K141" s="85"/>
      <c r="L141" s="85"/>
      <c r="M141" s="85"/>
      <c r="N141" s="164"/>
      <c r="O141" s="164"/>
      <c r="P141" s="164"/>
      <c r="Q141" s="164"/>
      <c r="R141" s="164"/>
    </row>
    <row r="142" spans="1:18" s="147" customFormat="1" ht="21" customHeight="1">
      <c r="A142" s="162"/>
      <c r="B142" s="164"/>
      <c r="C142" s="164"/>
      <c r="D142" s="575" t="s">
        <v>116</v>
      </c>
      <c r="E142" s="575"/>
      <c r="F142" s="166"/>
      <c r="G142" s="166"/>
      <c r="H142" s="164"/>
      <c r="I142" s="164"/>
      <c r="J142" s="569" t="s">
        <v>269</v>
      </c>
      <c r="K142" s="569"/>
      <c r="L142" s="569"/>
      <c r="M142" s="569"/>
      <c r="N142" s="164"/>
      <c r="O142" s="164"/>
      <c r="P142" s="164"/>
      <c r="Q142" s="164"/>
      <c r="R142" s="164"/>
    </row>
    <row r="143" spans="1:18" s="170" customFormat="1" ht="21" customHeight="1">
      <c r="A143" s="165"/>
      <c r="B143" s="164"/>
      <c r="C143" s="164"/>
      <c r="D143" s="575" t="s">
        <v>281</v>
      </c>
      <c r="E143" s="575"/>
      <c r="F143" s="166"/>
      <c r="G143" s="166"/>
      <c r="H143" s="164"/>
      <c r="I143" s="164"/>
      <c r="J143" s="569" t="s">
        <v>96</v>
      </c>
      <c r="K143" s="569"/>
      <c r="L143" s="569"/>
      <c r="M143" s="569"/>
      <c r="N143" s="164"/>
      <c r="O143" s="164"/>
      <c r="P143" s="164"/>
      <c r="Q143" s="164"/>
      <c r="R143" s="164"/>
    </row>
    <row r="144" spans="10:13" ht="21.75">
      <c r="J144" s="569"/>
      <c r="K144" s="569"/>
      <c r="L144" s="569"/>
      <c r="M144" s="569"/>
    </row>
  </sheetData>
  <sheetProtection/>
  <mergeCells count="46">
    <mergeCell ref="B112:D112"/>
    <mergeCell ref="I112:J112"/>
    <mergeCell ref="J139:M139"/>
    <mergeCell ref="J144:M144"/>
    <mergeCell ref="D143:E143"/>
    <mergeCell ref="D139:E139"/>
    <mergeCell ref="D142:E142"/>
    <mergeCell ref="J142:M142"/>
    <mergeCell ref="J143:M143"/>
    <mergeCell ref="L112:N112"/>
    <mergeCell ref="A1:R1"/>
    <mergeCell ref="A2:R2"/>
    <mergeCell ref="A3:R3"/>
    <mergeCell ref="I4:J4"/>
    <mergeCell ref="B4:D4"/>
    <mergeCell ref="J31:M31"/>
    <mergeCell ref="L4:N4"/>
    <mergeCell ref="D31:E31"/>
    <mergeCell ref="A37:R37"/>
    <mergeCell ref="D34:E34"/>
    <mergeCell ref="D33:E33"/>
    <mergeCell ref="J34:M34"/>
    <mergeCell ref="J33:M33"/>
    <mergeCell ref="D102:E102"/>
    <mergeCell ref="J58:M58"/>
    <mergeCell ref="J61:M61"/>
    <mergeCell ref="J35:M35"/>
    <mergeCell ref="L75:N75"/>
    <mergeCell ref="L38:N38"/>
    <mergeCell ref="J62:M62"/>
    <mergeCell ref="J102:M102"/>
    <mergeCell ref="I38:J38"/>
    <mergeCell ref="J63:M63"/>
    <mergeCell ref="J103:M103"/>
    <mergeCell ref="A111:R111"/>
    <mergeCell ref="A74:R74"/>
    <mergeCell ref="B75:D75"/>
    <mergeCell ref="I75:J75"/>
    <mergeCell ref="J101:M101"/>
    <mergeCell ref="J98:M98"/>
    <mergeCell ref="D58:E58"/>
    <mergeCell ref="D101:E101"/>
    <mergeCell ref="D61:E61"/>
    <mergeCell ref="D62:E62"/>
    <mergeCell ref="D98:E98"/>
    <mergeCell ref="B38:D38"/>
  </mergeCells>
  <printOptions horizontalCentered="1"/>
  <pageMargins left="0" right="0" top="0.143700787" bottom="0" header="0.011811024" footer="0.011811024"/>
  <pageSetup horizontalDpi="180" verticalDpi="180" orientation="landscape" paperSize="9" scale="7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zoomScalePageLayoutView="0" workbookViewId="0" topLeftCell="A1">
      <selection activeCell="I9" sqref="I9"/>
    </sheetView>
  </sheetViews>
  <sheetFormatPr defaultColWidth="9.140625" defaultRowHeight="21.75"/>
  <cols>
    <col min="1" max="1" width="24.28125" style="0" bestFit="1" customWidth="1"/>
    <col min="2" max="2" width="8.57421875" style="0" bestFit="1" customWidth="1"/>
    <col min="3" max="3" width="10.28125" style="0" bestFit="1" customWidth="1"/>
    <col min="4" max="6" width="6.140625" style="0" bestFit="1" customWidth="1"/>
    <col min="7" max="7" width="5.28125" style="0" bestFit="1" customWidth="1"/>
    <col min="8" max="8" width="10.28125" style="0" bestFit="1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1" customFormat="1" ht="23.25">
      <c r="A1" s="590" t="s">
        <v>12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s="91" customFormat="1" ht="23.25">
      <c r="A2" s="590" t="s">
        <v>102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1:17" s="91" customFormat="1" ht="24" thickBot="1">
      <c r="A3" s="591" t="s">
        <v>334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</row>
    <row r="4" spans="1:17" s="271" customFormat="1" ht="21">
      <c r="A4" s="266" t="s">
        <v>14</v>
      </c>
      <c r="B4" s="267" t="s">
        <v>76</v>
      </c>
      <c r="C4" s="587" t="s">
        <v>78</v>
      </c>
      <c r="D4" s="588"/>
      <c r="E4" s="587" t="s">
        <v>81</v>
      </c>
      <c r="F4" s="588"/>
      <c r="G4" s="587" t="s">
        <v>82</v>
      </c>
      <c r="H4" s="588"/>
      <c r="I4" s="587" t="s">
        <v>83</v>
      </c>
      <c r="J4" s="589"/>
      <c r="K4" s="587" t="s">
        <v>87</v>
      </c>
      <c r="L4" s="588"/>
      <c r="M4" s="267" t="s">
        <v>88</v>
      </c>
      <c r="N4" s="268" t="s">
        <v>91</v>
      </c>
      <c r="O4" s="269" t="s">
        <v>92</v>
      </c>
      <c r="P4" s="269" t="s">
        <v>95</v>
      </c>
      <c r="Q4" s="270" t="s">
        <v>15</v>
      </c>
    </row>
    <row r="5" spans="1:17" s="271" customFormat="1" ht="21.75" thickBot="1">
      <c r="A5" s="272" t="s">
        <v>16</v>
      </c>
      <c r="B5" s="273" t="s">
        <v>77</v>
      </c>
      <c r="C5" s="274" t="s">
        <v>79</v>
      </c>
      <c r="D5" s="275" t="s">
        <v>80</v>
      </c>
      <c r="E5" s="273" t="s">
        <v>72</v>
      </c>
      <c r="F5" s="273" t="s">
        <v>73</v>
      </c>
      <c r="G5" s="273" t="s">
        <v>74</v>
      </c>
      <c r="H5" s="273" t="s">
        <v>75</v>
      </c>
      <c r="I5" s="275" t="s">
        <v>84</v>
      </c>
      <c r="J5" s="276" t="s">
        <v>85</v>
      </c>
      <c r="K5" s="274" t="s">
        <v>86</v>
      </c>
      <c r="L5" s="274" t="s">
        <v>105</v>
      </c>
      <c r="M5" s="274" t="s">
        <v>89</v>
      </c>
      <c r="N5" s="277" t="s">
        <v>90</v>
      </c>
      <c r="O5" s="278" t="s">
        <v>93</v>
      </c>
      <c r="P5" s="278" t="s">
        <v>94</v>
      </c>
      <c r="Q5" s="279"/>
    </row>
    <row r="6" spans="1:17" s="91" customFormat="1" ht="18.75" customHeight="1">
      <c r="A6" s="280" t="s">
        <v>218</v>
      </c>
      <c r="B6" s="281"/>
      <c r="C6" s="281"/>
      <c r="D6" s="282"/>
      <c r="E6" s="281"/>
      <c r="F6" s="281"/>
      <c r="G6" s="281"/>
      <c r="H6" s="281"/>
      <c r="I6" s="281"/>
      <c r="J6" s="283"/>
      <c r="K6" s="282"/>
      <c r="L6" s="282"/>
      <c r="M6" s="282"/>
      <c r="N6" s="283"/>
      <c r="O6" s="283"/>
      <c r="P6" s="283"/>
      <c r="Q6" s="283"/>
    </row>
    <row r="7" spans="1:17" s="91" customFormat="1" ht="21">
      <c r="A7" s="284" t="s">
        <v>196</v>
      </c>
      <c r="B7" s="285">
        <v>0</v>
      </c>
      <c r="C7" s="286">
        <v>0</v>
      </c>
      <c r="D7" s="287">
        <v>0</v>
      </c>
      <c r="E7" s="286">
        <v>0</v>
      </c>
      <c r="F7" s="286">
        <v>0</v>
      </c>
      <c r="G7" s="286">
        <v>0</v>
      </c>
      <c r="H7" s="286">
        <v>0</v>
      </c>
      <c r="I7" s="286">
        <v>0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286">
        <v>0</v>
      </c>
      <c r="P7" s="286">
        <v>0</v>
      </c>
      <c r="Q7" s="286">
        <f>SUM(B7:P7)</f>
        <v>0</v>
      </c>
    </row>
    <row r="8" spans="1:17" s="91" customFormat="1" ht="21">
      <c r="A8" s="231" t="s">
        <v>17</v>
      </c>
      <c r="B8" s="285">
        <f aca="true" t="shared" si="0" ref="B8:P8">SUM(B7:B7)</f>
        <v>0</v>
      </c>
      <c r="C8" s="285">
        <f t="shared" si="0"/>
        <v>0</v>
      </c>
      <c r="D8" s="285">
        <f t="shared" si="0"/>
        <v>0</v>
      </c>
      <c r="E8" s="285">
        <f t="shared" si="0"/>
        <v>0</v>
      </c>
      <c r="F8" s="285">
        <f t="shared" si="0"/>
        <v>0</v>
      </c>
      <c r="G8" s="285">
        <f t="shared" si="0"/>
        <v>0</v>
      </c>
      <c r="H8" s="285">
        <f t="shared" si="0"/>
        <v>0</v>
      </c>
      <c r="I8" s="285">
        <f t="shared" si="0"/>
        <v>0</v>
      </c>
      <c r="J8" s="285">
        <f t="shared" si="0"/>
        <v>0</v>
      </c>
      <c r="K8" s="285">
        <f t="shared" si="0"/>
        <v>0</v>
      </c>
      <c r="L8" s="285">
        <f t="shared" si="0"/>
        <v>0</v>
      </c>
      <c r="M8" s="285">
        <f t="shared" si="0"/>
        <v>0</v>
      </c>
      <c r="N8" s="285">
        <f t="shared" si="0"/>
        <v>0</v>
      </c>
      <c r="O8" s="285">
        <f t="shared" si="0"/>
        <v>0</v>
      </c>
      <c r="P8" s="285">
        <f t="shared" si="0"/>
        <v>0</v>
      </c>
      <c r="Q8" s="286">
        <f>SUM(B8:P8)</f>
        <v>0</v>
      </c>
    </row>
    <row r="9" spans="1:17" s="291" customFormat="1" ht="21">
      <c r="A9" s="288" t="s">
        <v>18</v>
      </c>
      <c r="B9" s="289">
        <v>5500</v>
      </c>
      <c r="C9" s="289">
        <f>0</f>
        <v>0</v>
      </c>
      <c r="D9" s="289">
        <f>0</f>
        <v>0</v>
      </c>
      <c r="E9" s="289">
        <f>0</f>
        <v>0</v>
      </c>
      <c r="F9" s="289">
        <f>0</f>
        <v>0</v>
      </c>
      <c r="G9" s="289">
        <f>0</f>
        <v>0</v>
      </c>
      <c r="H9" s="289">
        <f>0</f>
        <v>0</v>
      </c>
      <c r="I9" s="289">
        <f>0</f>
        <v>0</v>
      </c>
      <c r="J9" s="289">
        <f>0</f>
        <v>0</v>
      </c>
      <c r="K9" s="289">
        <f>0</f>
        <v>0</v>
      </c>
      <c r="L9" s="289">
        <f>0</f>
        <v>0</v>
      </c>
      <c r="M9" s="289">
        <f>0</f>
        <v>0</v>
      </c>
      <c r="N9" s="289">
        <f>0</f>
        <v>0</v>
      </c>
      <c r="O9" s="289">
        <f>0</f>
        <v>0</v>
      </c>
      <c r="P9" s="289">
        <f>0</f>
        <v>0</v>
      </c>
      <c r="Q9" s="290">
        <f>SUM(B9:P9)</f>
        <v>5500</v>
      </c>
    </row>
    <row r="10" spans="1:17" s="91" customFormat="1" ht="20.25" customHeight="1">
      <c r="A10" s="292" t="s">
        <v>219</v>
      </c>
      <c r="B10" s="285"/>
      <c r="C10" s="286"/>
      <c r="D10" s="287"/>
      <c r="E10" s="286"/>
      <c r="F10" s="286"/>
      <c r="G10" s="286"/>
      <c r="H10" s="286"/>
      <c r="I10" s="286"/>
      <c r="J10" s="286"/>
      <c r="K10" s="287"/>
      <c r="L10" s="287"/>
      <c r="M10" s="287"/>
      <c r="N10" s="286"/>
      <c r="O10" s="286"/>
      <c r="P10" s="286"/>
      <c r="Q10" s="286"/>
    </row>
    <row r="11" spans="1:17" s="91" customFormat="1" ht="21">
      <c r="A11" s="231">
        <v>210100</v>
      </c>
      <c r="B11" s="285">
        <v>0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5">
        <v>0</v>
      </c>
      <c r="P11" s="285">
        <v>0</v>
      </c>
      <c r="Q11" s="286">
        <f>SUM(B11:P11)</f>
        <v>0</v>
      </c>
    </row>
    <row r="12" spans="1:17" s="91" customFormat="1" ht="21">
      <c r="A12" s="231" t="s">
        <v>17</v>
      </c>
      <c r="B12" s="285">
        <f aca="true" t="shared" si="1" ref="B12:P12">SUM(B11:B11)</f>
        <v>0</v>
      </c>
      <c r="C12" s="285">
        <f t="shared" si="1"/>
        <v>0</v>
      </c>
      <c r="D12" s="285">
        <f t="shared" si="1"/>
        <v>0</v>
      </c>
      <c r="E12" s="285">
        <f t="shared" si="1"/>
        <v>0</v>
      </c>
      <c r="F12" s="285">
        <f t="shared" si="1"/>
        <v>0</v>
      </c>
      <c r="G12" s="285">
        <f t="shared" si="1"/>
        <v>0</v>
      </c>
      <c r="H12" s="285">
        <f t="shared" si="1"/>
        <v>0</v>
      </c>
      <c r="I12" s="285">
        <f t="shared" si="1"/>
        <v>0</v>
      </c>
      <c r="J12" s="285">
        <f t="shared" si="1"/>
        <v>0</v>
      </c>
      <c r="K12" s="285">
        <f t="shared" si="1"/>
        <v>0</v>
      </c>
      <c r="L12" s="285">
        <f t="shared" si="1"/>
        <v>0</v>
      </c>
      <c r="M12" s="285">
        <f t="shared" si="1"/>
        <v>0</v>
      </c>
      <c r="N12" s="285">
        <f t="shared" si="1"/>
        <v>0</v>
      </c>
      <c r="O12" s="285">
        <f t="shared" si="1"/>
        <v>0</v>
      </c>
      <c r="P12" s="285">
        <f t="shared" si="1"/>
        <v>0</v>
      </c>
      <c r="Q12" s="286">
        <f>SUM(B12:P12)</f>
        <v>0</v>
      </c>
    </row>
    <row r="13" spans="1:17" s="291" customFormat="1" ht="21">
      <c r="A13" s="288" t="s">
        <v>18</v>
      </c>
      <c r="B13" s="289">
        <f>0</f>
        <v>0</v>
      </c>
      <c r="C13" s="289">
        <v>156660</v>
      </c>
      <c r="D13" s="289">
        <v>0</v>
      </c>
      <c r="E13" s="289">
        <f>0</f>
        <v>0</v>
      </c>
      <c r="F13" s="289">
        <f>0</f>
        <v>0</v>
      </c>
      <c r="G13" s="289">
        <v>0</v>
      </c>
      <c r="H13" s="289">
        <f>0</f>
        <v>0</v>
      </c>
      <c r="I13" s="289">
        <f>0</f>
        <v>0</v>
      </c>
      <c r="J13" s="289">
        <f>0</f>
        <v>0</v>
      </c>
      <c r="K13" s="289">
        <f>0</f>
        <v>0</v>
      </c>
      <c r="L13" s="289">
        <f>0</f>
        <v>0</v>
      </c>
      <c r="M13" s="289">
        <f>0</f>
        <v>0</v>
      </c>
      <c r="N13" s="289">
        <f>0</f>
        <v>0</v>
      </c>
      <c r="O13" s="289">
        <f>0</f>
        <v>0</v>
      </c>
      <c r="P13" s="289">
        <f>0</f>
        <v>0</v>
      </c>
      <c r="Q13" s="290">
        <f>SUM(B13:P13)</f>
        <v>156660</v>
      </c>
    </row>
    <row r="14" spans="1:17" s="91" customFormat="1" ht="20.25" customHeight="1">
      <c r="A14" s="292" t="s">
        <v>220</v>
      </c>
      <c r="B14" s="285"/>
      <c r="C14" s="285"/>
      <c r="D14" s="293"/>
      <c r="E14" s="286"/>
      <c r="F14" s="286"/>
      <c r="G14" s="286"/>
      <c r="H14" s="285"/>
      <c r="I14" s="286"/>
      <c r="J14" s="286"/>
      <c r="K14" s="287"/>
      <c r="L14" s="287"/>
      <c r="M14" s="287"/>
      <c r="N14" s="286"/>
      <c r="O14" s="286"/>
      <c r="P14" s="286"/>
      <c r="Q14" s="286"/>
    </row>
    <row r="15" spans="1:17" s="91" customFormat="1" ht="21">
      <c r="A15" s="231">
        <v>220600</v>
      </c>
      <c r="B15" s="285">
        <v>0</v>
      </c>
      <c r="C15" s="285">
        <v>68145</v>
      </c>
      <c r="D15" s="285">
        <v>0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0</v>
      </c>
      <c r="O15" s="285">
        <v>0</v>
      </c>
      <c r="P15" s="285">
        <v>0</v>
      </c>
      <c r="Q15" s="286">
        <f>SUM(B15:P15)</f>
        <v>68145</v>
      </c>
    </row>
    <row r="16" spans="1:17" s="91" customFormat="1" ht="21">
      <c r="A16" s="231" t="s">
        <v>17</v>
      </c>
      <c r="B16" s="285">
        <f aca="true" t="shared" si="2" ref="B16:P16">B15</f>
        <v>0</v>
      </c>
      <c r="C16" s="285">
        <f t="shared" si="2"/>
        <v>68145</v>
      </c>
      <c r="D16" s="285">
        <f t="shared" si="2"/>
        <v>0</v>
      </c>
      <c r="E16" s="285">
        <f t="shared" si="2"/>
        <v>0</v>
      </c>
      <c r="F16" s="285">
        <f t="shared" si="2"/>
        <v>0</v>
      </c>
      <c r="G16" s="285">
        <f t="shared" si="2"/>
        <v>0</v>
      </c>
      <c r="H16" s="285">
        <f t="shared" si="2"/>
        <v>0</v>
      </c>
      <c r="I16" s="285">
        <f t="shared" si="2"/>
        <v>0</v>
      </c>
      <c r="J16" s="285">
        <f t="shared" si="2"/>
        <v>0</v>
      </c>
      <c r="K16" s="285">
        <f t="shared" si="2"/>
        <v>0</v>
      </c>
      <c r="L16" s="285">
        <f t="shared" si="2"/>
        <v>0</v>
      </c>
      <c r="M16" s="285">
        <f t="shared" si="2"/>
        <v>0</v>
      </c>
      <c r="N16" s="285">
        <f t="shared" si="2"/>
        <v>0</v>
      </c>
      <c r="O16" s="285">
        <f t="shared" si="2"/>
        <v>0</v>
      </c>
      <c r="P16" s="285">
        <f t="shared" si="2"/>
        <v>0</v>
      </c>
      <c r="Q16" s="286">
        <f>SUM(B16:P16)</f>
        <v>68145</v>
      </c>
    </row>
    <row r="17" spans="1:17" s="291" customFormat="1" ht="21">
      <c r="A17" s="288" t="s">
        <v>18</v>
      </c>
      <c r="B17" s="289">
        <f>0</f>
        <v>0</v>
      </c>
      <c r="C17" s="289">
        <f>166480+83640+68145</f>
        <v>318265</v>
      </c>
      <c r="D17" s="289">
        <v>0</v>
      </c>
      <c r="E17" s="289">
        <f>0</f>
        <v>0</v>
      </c>
      <c r="F17" s="289">
        <f>0</f>
        <v>0</v>
      </c>
      <c r="G17" s="289">
        <f>0</f>
        <v>0</v>
      </c>
      <c r="H17" s="289">
        <f>0</f>
        <v>0</v>
      </c>
      <c r="I17" s="289">
        <f>0</f>
        <v>0</v>
      </c>
      <c r="J17" s="294">
        <f>0</f>
        <v>0</v>
      </c>
      <c r="K17" s="289">
        <f>0</f>
        <v>0</v>
      </c>
      <c r="L17" s="289">
        <f>0</f>
        <v>0</v>
      </c>
      <c r="M17" s="289">
        <f>0</f>
        <v>0</v>
      </c>
      <c r="N17" s="289">
        <f>0</f>
        <v>0</v>
      </c>
      <c r="O17" s="289">
        <f>0</f>
        <v>0</v>
      </c>
      <c r="P17" s="289">
        <f>0</f>
        <v>0</v>
      </c>
      <c r="Q17" s="290">
        <f>SUM(B17:P17)</f>
        <v>318265</v>
      </c>
    </row>
    <row r="18" spans="1:17" s="91" customFormat="1" ht="20.25" customHeight="1">
      <c r="A18" s="191" t="s">
        <v>221</v>
      </c>
      <c r="B18" s="295"/>
      <c r="C18" s="295"/>
      <c r="D18" s="296"/>
      <c r="E18" s="281"/>
      <c r="F18" s="281"/>
      <c r="G18" s="281"/>
      <c r="H18" s="295"/>
      <c r="I18" s="281"/>
      <c r="J18" s="286"/>
      <c r="K18" s="282"/>
      <c r="L18" s="282"/>
      <c r="M18" s="282"/>
      <c r="N18" s="281"/>
      <c r="O18" s="286"/>
      <c r="P18" s="286"/>
      <c r="Q18" s="286"/>
    </row>
    <row r="19" spans="1:17" s="91" customFormat="1" ht="21">
      <c r="A19" s="231">
        <v>310300</v>
      </c>
      <c r="B19" s="285">
        <v>0</v>
      </c>
      <c r="C19" s="285">
        <v>0</v>
      </c>
      <c r="D19" s="285">
        <v>0</v>
      </c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285">
        <v>0</v>
      </c>
      <c r="O19" s="285">
        <v>0</v>
      </c>
      <c r="P19" s="285">
        <v>0</v>
      </c>
      <c r="Q19" s="286">
        <f>SUM(B19:P19)</f>
        <v>0</v>
      </c>
    </row>
    <row r="20" spans="1:17" s="91" customFormat="1" ht="21">
      <c r="A20" s="231" t="s">
        <v>17</v>
      </c>
      <c r="B20" s="285">
        <f aca="true" t="shared" si="3" ref="B20:P20">SUM(B19:B19)</f>
        <v>0</v>
      </c>
      <c r="C20" s="285">
        <f t="shared" si="3"/>
        <v>0</v>
      </c>
      <c r="D20" s="285">
        <f t="shared" si="3"/>
        <v>0</v>
      </c>
      <c r="E20" s="285">
        <f t="shared" si="3"/>
        <v>0</v>
      </c>
      <c r="F20" s="285">
        <f t="shared" si="3"/>
        <v>0</v>
      </c>
      <c r="G20" s="285">
        <f t="shared" si="3"/>
        <v>0</v>
      </c>
      <c r="H20" s="285">
        <f t="shared" si="3"/>
        <v>0</v>
      </c>
      <c r="I20" s="285">
        <f t="shared" si="3"/>
        <v>0</v>
      </c>
      <c r="J20" s="285">
        <f t="shared" si="3"/>
        <v>0</v>
      </c>
      <c r="K20" s="285">
        <f t="shared" si="3"/>
        <v>0</v>
      </c>
      <c r="L20" s="285">
        <f t="shared" si="3"/>
        <v>0</v>
      </c>
      <c r="M20" s="285">
        <f t="shared" si="3"/>
        <v>0</v>
      </c>
      <c r="N20" s="285">
        <f t="shared" si="3"/>
        <v>0</v>
      </c>
      <c r="O20" s="285">
        <f t="shared" si="3"/>
        <v>0</v>
      </c>
      <c r="P20" s="285">
        <f t="shared" si="3"/>
        <v>0</v>
      </c>
      <c r="Q20" s="286">
        <f>SUM(B20:P20)</f>
        <v>0</v>
      </c>
    </row>
    <row r="21" spans="1:17" s="291" customFormat="1" ht="21">
      <c r="A21" s="288" t="s">
        <v>18</v>
      </c>
      <c r="B21" s="289">
        <f>0</f>
        <v>0</v>
      </c>
      <c r="C21" s="289">
        <v>0</v>
      </c>
      <c r="D21" s="289">
        <v>0</v>
      </c>
      <c r="E21" s="289">
        <f>0</f>
        <v>0</v>
      </c>
      <c r="F21" s="289">
        <f>0</f>
        <v>0</v>
      </c>
      <c r="G21" s="289">
        <v>0</v>
      </c>
      <c r="H21" s="289">
        <f>0</f>
        <v>0</v>
      </c>
      <c r="I21" s="289">
        <f>0</f>
        <v>0</v>
      </c>
      <c r="J21" s="289">
        <f>0</f>
        <v>0</v>
      </c>
      <c r="K21" s="289">
        <f>0</f>
        <v>0</v>
      </c>
      <c r="L21" s="289">
        <v>0</v>
      </c>
      <c r="M21" s="289">
        <f>0</f>
        <v>0</v>
      </c>
      <c r="N21" s="289">
        <f>0</f>
        <v>0</v>
      </c>
      <c r="O21" s="289">
        <f>0</f>
        <v>0</v>
      </c>
      <c r="P21" s="289">
        <f>0</f>
        <v>0</v>
      </c>
      <c r="Q21" s="290">
        <f>SUM(B21:P21)</f>
        <v>0</v>
      </c>
    </row>
    <row r="22" spans="1:17" s="91" customFormat="1" ht="20.25" customHeight="1">
      <c r="A22" s="292" t="s">
        <v>222</v>
      </c>
      <c r="B22" s="285"/>
      <c r="C22" s="285"/>
      <c r="D22" s="293"/>
      <c r="E22" s="286"/>
      <c r="F22" s="286"/>
      <c r="G22" s="286"/>
      <c r="H22" s="285"/>
      <c r="I22" s="286"/>
      <c r="J22" s="286"/>
      <c r="K22" s="287"/>
      <c r="L22" s="287"/>
      <c r="M22" s="287"/>
      <c r="N22" s="285"/>
      <c r="O22" s="286"/>
      <c r="P22" s="286"/>
      <c r="Q22" s="286"/>
    </row>
    <row r="23" spans="1:17" s="91" customFormat="1" ht="21">
      <c r="A23" s="231">
        <v>320100</v>
      </c>
      <c r="B23" s="285">
        <v>0</v>
      </c>
      <c r="C23" s="285">
        <v>0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6">
        <f>SUM(B23:P23)</f>
        <v>0</v>
      </c>
    </row>
    <row r="24" spans="1:17" s="91" customFormat="1" ht="21">
      <c r="A24" s="231" t="s">
        <v>17</v>
      </c>
      <c r="B24" s="285">
        <f aca="true" t="shared" si="4" ref="B24:P24">SUM(B23:B23)</f>
        <v>0</v>
      </c>
      <c r="C24" s="285">
        <f t="shared" si="4"/>
        <v>0</v>
      </c>
      <c r="D24" s="285">
        <f t="shared" si="4"/>
        <v>0</v>
      </c>
      <c r="E24" s="285">
        <f t="shared" si="4"/>
        <v>0</v>
      </c>
      <c r="F24" s="285">
        <f t="shared" si="4"/>
        <v>0</v>
      </c>
      <c r="G24" s="285">
        <f t="shared" si="4"/>
        <v>0</v>
      </c>
      <c r="H24" s="285">
        <f t="shared" si="4"/>
        <v>0</v>
      </c>
      <c r="I24" s="285">
        <f t="shared" si="4"/>
        <v>0</v>
      </c>
      <c r="J24" s="285">
        <f t="shared" si="4"/>
        <v>0</v>
      </c>
      <c r="K24" s="285">
        <f t="shared" si="4"/>
        <v>0</v>
      </c>
      <c r="L24" s="285">
        <f t="shared" si="4"/>
        <v>0</v>
      </c>
      <c r="M24" s="285">
        <f t="shared" si="4"/>
        <v>0</v>
      </c>
      <c r="N24" s="285">
        <f t="shared" si="4"/>
        <v>0</v>
      </c>
      <c r="O24" s="285">
        <f t="shared" si="4"/>
        <v>0</v>
      </c>
      <c r="P24" s="285">
        <f t="shared" si="4"/>
        <v>0</v>
      </c>
      <c r="Q24" s="286">
        <f>SUM(B24:P24)</f>
        <v>0</v>
      </c>
    </row>
    <row r="25" spans="1:17" s="291" customFormat="1" ht="21">
      <c r="A25" s="297" t="s">
        <v>18</v>
      </c>
      <c r="B25" s="289">
        <f>0</f>
        <v>0</v>
      </c>
      <c r="C25" s="289">
        <v>0</v>
      </c>
      <c r="D25" s="289">
        <f>0</f>
        <v>0</v>
      </c>
      <c r="E25" s="289">
        <f>0</f>
        <v>0</v>
      </c>
      <c r="F25" s="289">
        <f>0</f>
        <v>0</v>
      </c>
      <c r="G25" s="289">
        <v>0</v>
      </c>
      <c r="H25" s="289">
        <f>0</f>
        <v>0</v>
      </c>
      <c r="I25" s="289">
        <f>0</f>
        <v>0</v>
      </c>
      <c r="J25" s="289">
        <f>0</f>
        <v>0</v>
      </c>
      <c r="K25" s="289">
        <f>0</f>
        <v>0</v>
      </c>
      <c r="L25" s="289">
        <v>0</v>
      </c>
      <c r="M25" s="289">
        <f>0</f>
        <v>0</v>
      </c>
      <c r="N25" s="289">
        <f>0</f>
        <v>0</v>
      </c>
      <c r="O25" s="289">
        <f>0</f>
        <v>0</v>
      </c>
      <c r="P25" s="289">
        <f>0</f>
        <v>0</v>
      </c>
      <c r="Q25" s="290">
        <f>SUM(B25:P25)</f>
        <v>0</v>
      </c>
    </row>
    <row r="26" spans="1:17" s="91" customFormat="1" ht="18" customHeight="1">
      <c r="A26" s="292" t="s">
        <v>223</v>
      </c>
      <c r="B26" s="295"/>
      <c r="C26" s="285"/>
      <c r="D26" s="296"/>
      <c r="E26" s="281"/>
      <c r="F26" s="285"/>
      <c r="G26" s="285"/>
      <c r="H26" s="285"/>
      <c r="I26" s="298"/>
      <c r="J26" s="295"/>
      <c r="K26" s="293"/>
      <c r="L26" s="296"/>
      <c r="M26" s="282"/>
      <c r="N26" s="285"/>
      <c r="O26" s="286"/>
      <c r="P26" s="286"/>
      <c r="Q26" s="286"/>
    </row>
    <row r="27" spans="1:17" s="91" customFormat="1" ht="21">
      <c r="A27" s="231">
        <v>330200</v>
      </c>
      <c r="B27" s="285">
        <v>0</v>
      </c>
      <c r="C27" s="285">
        <v>0</v>
      </c>
      <c r="D27" s="285">
        <v>0</v>
      </c>
      <c r="E27" s="285">
        <v>0</v>
      </c>
      <c r="F27" s="285">
        <v>0</v>
      </c>
      <c r="G27" s="285">
        <v>0</v>
      </c>
      <c r="H27" s="285">
        <v>0</v>
      </c>
      <c r="I27" s="285">
        <v>0</v>
      </c>
      <c r="J27" s="285">
        <v>0</v>
      </c>
      <c r="K27" s="285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286">
        <f>SUM(B27:P27)</f>
        <v>0</v>
      </c>
    </row>
    <row r="28" spans="1:17" s="91" customFormat="1" ht="21">
      <c r="A28" s="231" t="s">
        <v>17</v>
      </c>
      <c r="B28" s="285">
        <f aca="true" t="shared" si="5" ref="B28:P28">SUM(B27:B27)</f>
        <v>0</v>
      </c>
      <c r="C28" s="285">
        <f t="shared" si="5"/>
        <v>0</v>
      </c>
      <c r="D28" s="285">
        <f t="shared" si="5"/>
        <v>0</v>
      </c>
      <c r="E28" s="285">
        <f t="shared" si="5"/>
        <v>0</v>
      </c>
      <c r="F28" s="285">
        <f t="shared" si="5"/>
        <v>0</v>
      </c>
      <c r="G28" s="285">
        <f t="shared" si="5"/>
        <v>0</v>
      </c>
      <c r="H28" s="285">
        <f t="shared" si="5"/>
        <v>0</v>
      </c>
      <c r="I28" s="285">
        <f t="shared" si="5"/>
        <v>0</v>
      </c>
      <c r="J28" s="285">
        <f t="shared" si="5"/>
        <v>0</v>
      </c>
      <c r="K28" s="285">
        <f t="shared" si="5"/>
        <v>0</v>
      </c>
      <c r="L28" s="285">
        <f t="shared" si="5"/>
        <v>0</v>
      </c>
      <c r="M28" s="285">
        <f t="shared" si="5"/>
        <v>0</v>
      </c>
      <c r="N28" s="285">
        <f t="shared" si="5"/>
        <v>0</v>
      </c>
      <c r="O28" s="285">
        <f t="shared" si="5"/>
        <v>0</v>
      </c>
      <c r="P28" s="285">
        <f t="shared" si="5"/>
        <v>0</v>
      </c>
      <c r="Q28" s="286">
        <f>SUM(B28:P28)</f>
        <v>0</v>
      </c>
    </row>
    <row r="29" spans="1:17" s="291" customFormat="1" ht="21">
      <c r="A29" s="288" t="s">
        <v>18</v>
      </c>
      <c r="B29" s="289">
        <f>0</f>
        <v>0</v>
      </c>
      <c r="C29" s="289">
        <v>0</v>
      </c>
      <c r="D29" s="289">
        <v>0</v>
      </c>
      <c r="E29" s="289">
        <f>0</f>
        <v>0</v>
      </c>
      <c r="F29" s="289">
        <f>0</f>
        <v>0</v>
      </c>
      <c r="G29" s="289">
        <v>0</v>
      </c>
      <c r="H29" s="289">
        <f>0</f>
        <v>0</v>
      </c>
      <c r="I29" s="289">
        <f>0</f>
        <v>0</v>
      </c>
      <c r="J29" s="289">
        <f>0</f>
        <v>0</v>
      </c>
      <c r="K29" s="289">
        <v>0</v>
      </c>
      <c r="L29" s="289">
        <v>0</v>
      </c>
      <c r="M29" s="289">
        <f>0</f>
        <v>0</v>
      </c>
      <c r="N29" s="289">
        <f>0</f>
        <v>0</v>
      </c>
      <c r="O29" s="289">
        <f>0</f>
        <v>0</v>
      </c>
      <c r="P29" s="289">
        <f>0</f>
        <v>0</v>
      </c>
      <c r="Q29" s="290">
        <f>SUM(B29:P29)</f>
        <v>0</v>
      </c>
    </row>
    <row r="30" spans="1:17" s="291" customFormat="1" ht="21">
      <c r="A30" s="299"/>
      <c r="B30" s="300"/>
      <c r="C30" s="300"/>
      <c r="D30" s="584" t="s">
        <v>7</v>
      </c>
      <c r="E30" s="584"/>
      <c r="F30" s="584"/>
      <c r="G30" s="584"/>
      <c r="H30" s="301"/>
      <c r="I30" s="301"/>
      <c r="J30" s="301"/>
      <c r="K30" s="584" t="s">
        <v>97</v>
      </c>
      <c r="L30" s="584"/>
      <c r="M30" s="584"/>
      <c r="N30" s="300"/>
      <c r="O30" s="300"/>
      <c r="P30" s="300"/>
      <c r="Q30" s="302"/>
    </row>
    <row r="31" spans="1:17" s="291" customFormat="1" ht="21">
      <c r="A31" s="239"/>
      <c r="B31" s="303"/>
      <c r="C31" s="303"/>
      <c r="D31" s="304"/>
      <c r="E31" s="304"/>
      <c r="F31" s="304"/>
      <c r="G31" s="304"/>
      <c r="H31" s="301"/>
      <c r="I31" s="301"/>
      <c r="J31" s="301"/>
      <c r="K31" s="304"/>
      <c r="L31" s="304"/>
      <c r="M31" s="304"/>
      <c r="N31" s="303"/>
      <c r="O31" s="303"/>
      <c r="P31" s="303"/>
      <c r="Q31" s="305"/>
    </row>
    <row r="32" spans="1:17" s="291" customFormat="1" ht="21">
      <c r="A32" s="299"/>
      <c r="B32" s="300"/>
      <c r="C32" s="300"/>
      <c r="D32" s="585" t="s">
        <v>116</v>
      </c>
      <c r="E32" s="585"/>
      <c r="F32" s="585"/>
      <c r="G32" s="585"/>
      <c r="H32" s="301"/>
      <c r="I32" s="301"/>
      <c r="J32" s="301"/>
      <c r="K32" s="585" t="s">
        <v>273</v>
      </c>
      <c r="L32" s="585"/>
      <c r="M32" s="585"/>
      <c r="N32" s="300"/>
      <c r="O32" s="300"/>
      <c r="P32" s="300"/>
      <c r="Q32" s="302"/>
    </row>
    <row r="33" spans="1:17" s="291" customFormat="1" ht="21">
      <c r="A33" s="299"/>
      <c r="B33" s="300"/>
      <c r="C33" s="300"/>
      <c r="D33" s="585" t="s">
        <v>281</v>
      </c>
      <c r="E33" s="585"/>
      <c r="F33" s="585"/>
      <c r="G33" s="585"/>
      <c r="H33" s="301"/>
      <c r="I33" s="301"/>
      <c r="J33" s="301"/>
      <c r="K33" s="585" t="s">
        <v>96</v>
      </c>
      <c r="L33" s="585"/>
      <c r="M33" s="585"/>
      <c r="N33" s="300"/>
      <c r="O33" s="300"/>
      <c r="P33" s="300"/>
      <c r="Q33" s="302"/>
    </row>
    <row r="34" spans="1:17" s="91" customFormat="1" ht="21.75" thickBot="1">
      <c r="A34" s="586" t="s">
        <v>19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</row>
    <row r="35" spans="1:17" s="271" customFormat="1" ht="21">
      <c r="A35" s="266" t="s">
        <v>14</v>
      </c>
      <c r="B35" s="267" t="s">
        <v>76</v>
      </c>
      <c r="C35" s="587" t="s">
        <v>78</v>
      </c>
      <c r="D35" s="588"/>
      <c r="E35" s="587" t="s">
        <v>81</v>
      </c>
      <c r="F35" s="588"/>
      <c r="G35" s="587" t="s">
        <v>82</v>
      </c>
      <c r="H35" s="588"/>
      <c r="I35" s="587" t="s">
        <v>83</v>
      </c>
      <c r="J35" s="589"/>
      <c r="K35" s="587" t="s">
        <v>87</v>
      </c>
      <c r="L35" s="588"/>
      <c r="M35" s="267" t="s">
        <v>88</v>
      </c>
      <c r="N35" s="268" t="s">
        <v>91</v>
      </c>
      <c r="O35" s="269" t="s">
        <v>92</v>
      </c>
      <c r="P35" s="269" t="s">
        <v>95</v>
      </c>
      <c r="Q35" s="270" t="s">
        <v>15</v>
      </c>
    </row>
    <row r="36" spans="1:17" s="271" customFormat="1" ht="21.75" thickBot="1">
      <c r="A36" s="272" t="s">
        <v>16</v>
      </c>
      <c r="B36" s="273" t="s">
        <v>77</v>
      </c>
      <c r="C36" s="274" t="s">
        <v>79</v>
      </c>
      <c r="D36" s="275" t="s">
        <v>80</v>
      </c>
      <c r="E36" s="273" t="s">
        <v>72</v>
      </c>
      <c r="F36" s="273" t="s">
        <v>73</v>
      </c>
      <c r="G36" s="273" t="s">
        <v>74</v>
      </c>
      <c r="H36" s="273" t="s">
        <v>75</v>
      </c>
      <c r="I36" s="275" t="s">
        <v>84</v>
      </c>
      <c r="J36" s="276" t="s">
        <v>85</v>
      </c>
      <c r="K36" s="274" t="s">
        <v>106</v>
      </c>
      <c r="L36" s="274" t="s">
        <v>105</v>
      </c>
      <c r="M36" s="274" t="s">
        <v>89</v>
      </c>
      <c r="N36" s="277" t="s">
        <v>90</v>
      </c>
      <c r="O36" s="278" t="s">
        <v>93</v>
      </c>
      <c r="P36" s="278" t="s">
        <v>94</v>
      </c>
      <c r="Q36" s="279"/>
    </row>
    <row r="37" spans="1:17" s="91" customFormat="1" ht="21">
      <c r="A37" s="292" t="s">
        <v>233</v>
      </c>
      <c r="B37" s="286"/>
      <c r="C37" s="285"/>
      <c r="D37" s="287"/>
      <c r="E37" s="286"/>
      <c r="F37" s="286"/>
      <c r="G37" s="286"/>
      <c r="H37" s="286"/>
      <c r="I37" s="286"/>
      <c r="J37" s="286"/>
      <c r="K37" s="287"/>
      <c r="L37" s="287"/>
      <c r="M37" s="286"/>
      <c r="N37" s="285"/>
      <c r="O37" s="286"/>
      <c r="P37" s="286"/>
      <c r="Q37" s="286"/>
    </row>
    <row r="38" spans="1:17" s="91" customFormat="1" ht="21">
      <c r="A38" s="231">
        <v>340100</v>
      </c>
      <c r="B38" s="285">
        <v>0</v>
      </c>
      <c r="C38" s="285">
        <v>0</v>
      </c>
      <c r="D38" s="285">
        <v>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6">
        <f>SUM(B38:P38)</f>
        <v>0</v>
      </c>
    </row>
    <row r="39" spans="1:17" s="91" customFormat="1" ht="21">
      <c r="A39" s="231" t="s">
        <v>17</v>
      </c>
      <c r="B39" s="286">
        <f aca="true" t="shared" si="6" ref="B39:K39">SUM(B38:B38)</f>
        <v>0</v>
      </c>
      <c r="C39" s="286">
        <f t="shared" si="6"/>
        <v>0</v>
      </c>
      <c r="D39" s="286">
        <f t="shared" si="6"/>
        <v>0</v>
      </c>
      <c r="E39" s="286">
        <f t="shared" si="6"/>
        <v>0</v>
      </c>
      <c r="F39" s="286">
        <f t="shared" si="6"/>
        <v>0</v>
      </c>
      <c r="G39" s="286">
        <f t="shared" si="6"/>
        <v>0</v>
      </c>
      <c r="H39" s="286">
        <f t="shared" si="6"/>
        <v>0</v>
      </c>
      <c r="I39" s="286">
        <f t="shared" si="6"/>
        <v>0</v>
      </c>
      <c r="J39" s="286">
        <f t="shared" si="6"/>
        <v>0</v>
      </c>
      <c r="K39" s="286">
        <f t="shared" si="6"/>
        <v>0</v>
      </c>
      <c r="L39" s="286">
        <v>0</v>
      </c>
      <c r="M39" s="286">
        <f>SUM(M38:M38)</f>
        <v>0</v>
      </c>
      <c r="N39" s="286">
        <f>SUM(N38:N38)</f>
        <v>0</v>
      </c>
      <c r="O39" s="286">
        <f>SUM(O38:O38)</f>
        <v>0</v>
      </c>
      <c r="P39" s="286">
        <f>SUM(P38:P38)</f>
        <v>0</v>
      </c>
      <c r="Q39" s="286">
        <f>SUM(B39:P39)</f>
        <v>0</v>
      </c>
    </row>
    <row r="40" spans="1:17" s="291" customFormat="1" ht="21">
      <c r="A40" s="288" t="s">
        <v>18</v>
      </c>
      <c r="B40" s="289">
        <f>0</f>
        <v>0</v>
      </c>
      <c r="C40" s="289">
        <v>0</v>
      </c>
      <c r="D40" s="289">
        <f>0</f>
        <v>0</v>
      </c>
      <c r="E40" s="289">
        <f>0</f>
        <v>0</v>
      </c>
      <c r="F40" s="289">
        <f>0</f>
        <v>0</v>
      </c>
      <c r="G40" s="289">
        <f>0</f>
        <v>0</v>
      </c>
      <c r="H40" s="289">
        <f>0</f>
        <v>0</v>
      </c>
      <c r="I40" s="289">
        <f>0</f>
        <v>0</v>
      </c>
      <c r="J40" s="289">
        <f>0</f>
        <v>0</v>
      </c>
      <c r="K40" s="289">
        <f>0</f>
        <v>0</v>
      </c>
      <c r="L40" s="289">
        <v>0</v>
      </c>
      <c r="M40" s="289">
        <v>0</v>
      </c>
      <c r="N40" s="289">
        <f>0</f>
        <v>0</v>
      </c>
      <c r="O40" s="289">
        <f>0</f>
        <v>0</v>
      </c>
      <c r="P40" s="289">
        <f>0</f>
        <v>0</v>
      </c>
      <c r="Q40" s="290">
        <f>SUM(B40:P40)</f>
        <v>0</v>
      </c>
    </row>
    <row r="41" spans="1:17" s="91" customFormat="1" ht="21">
      <c r="A41" s="292" t="s">
        <v>224</v>
      </c>
      <c r="B41" s="286"/>
      <c r="C41" s="285"/>
      <c r="D41" s="287"/>
      <c r="E41" s="286"/>
      <c r="F41" s="286"/>
      <c r="G41" s="286"/>
      <c r="H41" s="286"/>
      <c r="I41" s="286"/>
      <c r="J41" s="286"/>
      <c r="K41" s="287"/>
      <c r="L41" s="287"/>
      <c r="M41" s="286"/>
      <c r="N41" s="285"/>
      <c r="O41" s="286"/>
      <c r="P41" s="286"/>
      <c r="Q41" s="286"/>
    </row>
    <row r="42" spans="1:17" s="91" customFormat="1" ht="21">
      <c r="A42" s="231">
        <v>410100</v>
      </c>
      <c r="B42" s="285">
        <v>0</v>
      </c>
      <c r="C42" s="285">
        <v>0</v>
      </c>
      <c r="D42" s="285">
        <v>0</v>
      </c>
      <c r="E42" s="285">
        <v>0</v>
      </c>
      <c r="F42" s="285">
        <v>0</v>
      </c>
      <c r="G42" s="285">
        <v>0</v>
      </c>
      <c r="H42" s="285">
        <v>0</v>
      </c>
      <c r="I42" s="285">
        <v>0</v>
      </c>
      <c r="J42" s="285">
        <v>0</v>
      </c>
      <c r="K42" s="285">
        <v>0</v>
      </c>
      <c r="L42" s="285">
        <v>0</v>
      </c>
      <c r="M42" s="285">
        <v>0</v>
      </c>
      <c r="N42" s="285">
        <v>0</v>
      </c>
      <c r="O42" s="285">
        <v>0</v>
      </c>
      <c r="P42" s="285">
        <v>0</v>
      </c>
      <c r="Q42" s="286">
        <f>SUM(B42:P42)</f>
        <v>0</v>
      </c>
    </row>
    <row r="43" spans="1:17" s="91" customFormat="1" ht="21">
      <c r="A43" s="231" t="s">
        <v>17</v>
      </c>
      <c r="B43" s="286">
        <f aca="true" t="shared" si="7" ref="B43:P43">SUM(B42)</f>
        <v>0</v>
      </c>
      <c r="C43" s="286">
        <f t="shared" si="7"/>
        <v>0</v>
      </c>
      <c r="D43" s="286">
        <f t="shared" si="7"/>
        <v>0</v>
      </c>
      <c r="E43" s="286">
        <f t="shared" si="7"/>
        <v>0</v>
      </c>
      <c r="F43" s="286">
        <f t="shared" si="7"/>
        <v>0</v>
      </c>
      <c r="G43" s="286">
        <f t="shared" si="7"/>
        <v>0</v>
      </c>
      <c r="H43" s="286">
        <f t="shared" si="7"/>
        <v>0</v>
      </c>
      <c r="I43" s="286">
        <f t="shared" si="7"/>
        <v>0</v>
      </c>
      <c r="J43" s="286">
        <f t="shared" si="7"/>
        <v>0</v>
      </c>
      <c r="K43" s="286">
        <f t="shared" si="7"/>
        <v>0</v>
      </c>
      <c r="L43" s="286">
        <f t="shared" si="7"/>
        <v>0</v>
      </c>
      <c r="M43" s="286">
        <f t="shared" si="7"/>
        <v>0</v>
      </c>
      <c r="N43" s="286">
        <f t="shared" si="7"/>
        <v>0</v>
      </c>
      <c r="O43" s="286">
        <f t="shared" si="7"/>
        <v>0</v>
      </c>
      <c r="P43" s="286">
        <f t="shared" si="7"/>
        <v>0</v>
      </c>
      <c r="Q43" s="286">
        <f>SUM(B43:P43)</f>
        <v>0</v>
      </c>
    </row>
    <row r="44" spans="1:17" s="291" customFormat="1" ht="21">
      <c r="A44" s="288" t="s">
        <v>18</v>
      </c>
      <c r="B44" s="289">
        <f>0</f>
        <v>0</v>
      </c>
      <c r="C44" s="289">
        <v>0</v>
      </c>
      <c r="D44" s="289">
        <f>0</f>
        <v>0</v>
      </c>
      <c r="E44" s="289">
        <f>0</f>
        <v>0</v>
      </c>
      <c r="F44" s="289">
        <f>0</f>
        <v>0</v>
      </c>
      <c r="G44" s="289">
        <f>0</f>
        <v>0</v>
      </c>
      <c r="H44" s="289">
        <f>0</f>
        <v>0</v>
      </c>
      <c r="I44" s="289">
        <v>0</v>
      </c>
      <c r="J44" s="289">
        <v>0</v>
      </c>
      <c r="K44" s="289">
        <f>0</f>
        <v>0</v>
      </c>
      <c r="L44" s="289">
        <v>0</v>
      </c>
      <c r="M44" s="289">
        <f>0</f>
        <v>0</v>
      </c>
      <c r="N44" s="289">
        <f>0</f>
        <v>0</v>
      </c>
      <c r="O44" s="289">
        <f>0</f>
        <v>0</v>
      </c>
      <c r="P44" s="289">
        <f>0</f>
        <v>0</v>
      </c>
      <c r="Q44" s="290">
        <f>SUM(B44:P44)</f>
        <v>0</v>
      </c>
    </row>
    <row r="45" spans="1:17" s="91" customFormat="1" ht="21">
      <c r="A45" s="292" t="s">
        <v>225</v>
      </c>
      <c r="B45" s="286"/>
      <c r="C45" s="285"/>
      <c r="D45" s="287"/>
      <c r="E45" s="286"/>
      <c r="F45" s="286"/>
      <c r="G45" s="286"/>
      <c r="H45" s="286"/>
      <c r="I45" s="286"/>
      <c r="J45" s="286"/>
      <c r="K45" s="287"/>
      <c r="L45" s="287"/>
      <c r="M45" s="286"/>
      <c r="N45" s="285"/>
      <c r="O45" s="286"/>
      <c r="P45" s="286"/>
      <c r="Q45" s="286"/>
    </row>
    <row r="46" spans="1:17" s="91" customFormat="1" ht="21">
      <c r="A46" s="306">
        <v>421000</v>
      </c>
      <c r="B46" s="286">
        <v>0</v>
      </c>
      <c r="C46" s="285">
        <v>0</v>
      </c>
      <c r="D46" s="287">
        <v>0</v>
      </c>
      <c r="E46" s="286">
        <v>0</v>
      </c>
      <c r="F46" s="286">
        <v>0</v>
      </c>
      <c r="G46" s="286">
        <v>0</v>
      </c>
      <c r="H46" s="286">
        <v>0</v>
      </c>
      <c r="I46" s="286">
        <v>0</v>
      </c>
      <c r="J46" s="286">
        <v>0</v>
      </c>
      <c r="K46" s="287">
        <v>0</v>
      </c>
      <c r="L46" s="287">
        <v>0</v>
      </c>
      <c r="M46" s="286">
        <v>0</v>
      </c>
      <c r="N46" s="285">
        <v>0</v>
      </c>
      <c r="O46" s="286">
        <v>0</v>
      </c>
      <c r="P46" s="286">
        <v>0</v>
      </c>
      <c r="Q46" s="286">
        <f>SUM(B46:P46)</f>
        <v>0</v>
      </c>
    </row>
    <row r="47" spans="1:17" s="91" customFormat="1" ht="21">
      <c r="A47" s="231" t="s">
        <v>17</v>
      </c>
      <c r="B47" s="286">
        <f aca="true" t="shared" si="8" ref="B47:P47">SUM(B46:B46)</f>
        <v>0</v>
      </c>
      <c r="C47" s="286">
        <f t="shared" si="8"/>
        <v>0</v>
      </c>
      <c r="D47" s="286">
        <f t="shared" si="8"/>
        <v>0</v>
      </c>
      <c r="E47" s="286">
        <f t="shared" si="8"/>
        <v>0</v>
      </c>
      <c r="F47" s="286">
        <f t="shared" si="8"/>
        <v>0</v>
      </c>
      <c r="G47" s="286">
        <f t="shared" si="8"/>
        <v>0</v>
      </c>
      <c r="H47" s="286">
        <f t="shared" si="8"/>
        <v>0</v>
      </c>
      <c r="I47" s="286">
        <f t="shared" si="8"/>
        <v>0</v>
      </c>
      <c r="J47" s="286">
        <f t="shared" si="8"/>
        <v>0</v>
      </c>
      <c r="K47" s="286">
        <f t="shared" si="8"/>
        <v>0</v>
      </c>
      <c r="L47" s="286">
        <f t="shared" si="8"/>
        <v>0</v>
      </c>
      <c r="M47" s="286">
        <f t="shared" si="8"/>
        <v>0</v>
      </c>
      <c r="N47" s="286">
        <f t="shared" si="8"/>
        <v>0</v>
      </c>
      <c r="O47" s="286">
        <f t="shared" si="8"/>
        <v>0</v>
      </c>
      <c r="P47" s="286">
        <f t="shared" si="8"/>
        <v>0</v>
      </c>
      <c r="Q47" s="286">
        <f>SUM(B47:P47)</f>
        <v>0</v>
      </c>
    </row>
    <row r="48" spans="1:17" s="291" customFormat="1" ht="21">
      <c r="A48" s="288" t="s">
        <v>18</v>
      </c>
      <c r="B48" s="289">
        <f>0</f>
        <v>0</v>
      </c>
      <c r="C48" s="289">
        <v>0</v>
      </c>
      <c r="D48" s="289">
        <v>0</v>
      </c>
      <c r="E48" s="289">
        <f>0</f>
        <v>0</v>
      </c>
      <c r="F48" s="289">
        <f>0</f>
        <v>0</v>
      </c>
      <c r="G48" s="289">
        <f>0</f>
        <v>0</v>
      </c>
      <c r="H48" s="289">
        <f>343650+135300</f>
        <v>478950</v>
      </c>
      <c r="I48" s="289">
        <f>0</f>
        <v>0</v>
      </c>
      <c r="J48" s="289">
        <f>0</f>
        <v>0</v>
      </c>
      <c r="K48" s="289">
        <f>0</f>
        <v>0</v>
      </c>
      <c r="L48" s="289">
        <v>0</v>
      </c>
      <c r="M48" s="289">
        <f>0</f>
        <v>0</v>
      </c>
      <c r="N48" s="289">
        <f>0</f>
        <v>0</v>
      </c>
      <c r="O48" s="289">
        <f>0</f>
        <v>0</v>
      </c>
      <c r="P48" s="289">
        <f>0</f>
        <v>0</v>
      </c>
      <c r="Q48" s="290">
        <f>SUM(B48:P48)</f>
        <v>478950</v>
      </c>
    </row>
    <row r="49" spans="1:17" s="91" customFormat="1" ht="21">
      <c r="A49" s="292" t="s">
        <v>226</v>
      </c>
      <c r="B49" s="286"/>
      <c r="C49" s="285"/>
      <c r="D49" s="287"/>
      <c r="E49" s="286"/>
      <c r="F49" s="286"/>
      <c r="G49" s="286"/>
      <c r="H49" s="286"/>
      <c r="I49" s="286"/>
      <c r="J49" s="286"/>
      <c r="K49" s="287"/>
      <c r="L49" s="287"/>
      <c r="M49" s="286"/>
      <c r="N49" s="285"/>
      <c r="O49" s="286"/>
      <c r="P49" s="286"/>
      <c r="Q49" s="286"/>
    </row>
    <row r="50" spans="1:17" s="91" customFormat="1" ht="21">
      <c r="A50" s="231">
        <v>610100</v>
      </c>
      <c r="B50" s="285">
        <v>0</v>
      </c>
      <c r="C50" s="285">
        <v>0</v>
      </c>
      <c r="D50" s="285">
        <v>0</v>
      </c>
      <c r="E50" s="285">
        <v>0</v>
      </c>
      <c r="F50" s="285">
        <v>0</v>
      </c>
      <c r="G50" s="285">
        <v>0</v>
      </c>
      <c r="H50" s="285">
        <v>0</v>
      </c>
      <c r="I50" s="285">
        <v>0</v>
      </c>
      <c r="J50" s="285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285">
        <v>0</v>
      </c>
      <c r="Q50" s="286">
        <f>SUM(B50:P50)</f>
        <v>0</v>
      </c>
    </row>
    <row r="51" spans="1:17" s="91" customFormat="1" ht="21">
      <c r="A51" s="231" t="s">
        <v>17</v>
      </c>
      <c r="B51" s="286">
        <f aca="true" t="shared" si="9" ref="B51:P51">SUM(B50:B50)</f>
        <v>0</v>
      </c>
      <c r="C51" s="286">
        <f t="shared" si="9"/>
        <v>0</v>
      </c>
      <c r="D51" s="286">
        <f t="shared" si="9"/>
        <v>0</v>
      </c>
      <c r="E51" s="286">
        <f t="shared" si="9"/>
        <v>0</v>
      </c>
      <c r="F51" s="286">
        <f t="shared" si="9"/>
        <v>0</v>
      </c>
      <c r="G51" s="286">
        <f t="shared" si="9"/>
        <v>0</v>
      </c>
      <c r="H51" s="286">
        <f t="shared" si="9"/>
        <v>0</v>
      </c>
      <c r="I51" s="286">
        <f t="shared" si="9"/>
        <v>0</v>
      </c>
      <c r="J51" s="286">
        <f t="shared" si="9"/>
        <v>0</v>
      </c>
      <c r="K51" s="286">
        <f t="shared" si="9"/>
        <v>0</v>
      </c>
      <c r="L51" s="286">
        <f t="shared" si="9"/>
        <v>0</v>
      </c>
      <c r="M51" s="286">
        <f t="shared" si="9"/>
        <v>0</v>
      </c>
      <c r="N51" s="286">
        <f t="shared" si="9"/>
        <v>0</v>
      </c>
      <c r="O51" s="286">
        <f t="shared" si="9"/>
        <v>0</v>
      </c>
      <c r="P51" s="286">
        <f t="shared" si="9"/>
        <v>0</v>
      </c>
      <c r="Q51" s="286">
        <f>SUM(B51:P51)</f>
        <v>0</v>
      </c>
    </row>
    <row r="52" spans="1:17" s="291" customFormat="1" ht="21">
      <c r="A52" s="288" t="s">
        <v>18</v>
      </c>
      <c r="B52" s="289">
        <f>0</f>
        <v>0</v>
      </c>
      <c r="C52" s="289">
        <v>0</v>
      </c>
      <c r="D52" s="289">
        <f>0</f>
        <v>0</v>
      </c>
      <c r="E52" s="289">
        <f>0</f>
        <v>0</v>
      </c>
      <c r="F52" s="289">
        <f>0</f>
        <v>0</v>
      </c>
      <c r="G52" s="289">
        <f>0</f>
        <v>0</v>
      </c>
      <c r="H52" s="289">
        <f>0</f>
        <v>0</v>
      </c>
      <c r="I52" s="289">
        <f>0</f>
        <v>0</v>
      </c>
      <c r="J52" s="289">
        <f>0</f>
        <v>0</v>
      </c>
      <c r="K52" s="289">
        <f>0</f>
        <v>0</v>
      </c>
      <c r="L52" s="289">
        <v>0</v>
      </c>
      <c r="M52" s="289">
        <f>0</f>
        <v>0</v>
      </c>
      <c r="N52" s="289">
        <f>0</f>
        <v>0</v>
      </c>
      <c r="O52" s="289">
        <v>0</v>
      </c>
      <c r="P52" s="289">
        <f>0</f>
        <v>0</v>
      </c>
      <c r="Q52" s="290">
        <f>SUM(B52:P52)</f>
        <v>0</v>
      </c>
    </row>
    <row r="53" spans="1:17" s="91" customFormat="1" ht="21">
      <c r="A53" s="292" t="s">
        <v>227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6"/>
    </row>
    <row r="54" spans="1:17" s="91" customFormat="1" ht="21">
      <c r="A54" s="231">
        <v>510100</v>
      </c>
      <c r="B54" s="285">
        <v>0</v>
      </c>
      <c r="C54" s="285">
        <v>0</v>
      </c>
      <c r="D54" s="285">
        <v>0</v>
      </c>
      <c r="E54" s="285">
        <v>0</v>
      </c>
      <c r="F54" s="285">
        <v>0</v>
      </c>
      <c r="G54" s="285">
        <v>0</v>
      </c>
      <c r="H54" s="285">
        <v>0</v>
      </c>
      <c r="I54" s="285">
        <v>0</v>
      </c>
      <c r="J54" s="285">
        <v>0</v>
      </c>
      <c r="K54" s="285">
        <v>0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6">
        <f>SUM(B54:P54)</f>
        <v>0</v>
      </c>
    </row>
    <row r="55" spans="1:17" s="91" customFormat="1" ht="21">
      <c r="A55" s="231" t="s">
        <v>17</v>
      </c>
      <c r="B55" s="285">
        <f aca="true" t="shared" si="10" ref="B55:P55">SUM(B54)</f>
        <v>0</v>
      </c>
      <c r="C55" s="285">
        <f t="shared" si="10"/>
        <v>0</v>
      </c>
      <c r="D55" s="285">
        <f t="shared" si="10"/>
        <v>0</v>
      </c>
      <c r="E55" s="285">
        <f t="shared" si="10"/>
        <v>0</v>
      </c>
      <c r="F55" s="285">
        <f t="shared" si="10"/>
        <v>0</v>
      </c>
      <c r="G55" s="285">
        <f t="shared" si="10"/>
        <v>0</v>
      </c>
      <c r="H55" s="285">
        <f t="shared" si="10"/>
        <v>0</v>
      </c>
      <c r="I55" s="285">
        <f t="shared" si="10"/>
        <v>0</v>
      </c>
      <c r="J55" s="285">
        <f t="shared" si="10"/>
        <v>0</v>
      </c>
      <c r="K55" s="285">
        <f t="shared" si="10"/>
        <v>0</v>
      </c>
      <c r="L55" s="285">
        <f t="shared" si="10"/>
        <v>0</v>
      </c>
      <c r="M55" s="285">
        <f t="shared" si="10"/>
        <v>0</v>
      </c>
      <c r="N55" s="285">
        <f t="shared" si="10"/>
        <v>0</v>
      </c>
      <c r="O55" s="285">
        <f t="shared" si="10"/>
        <v>0</v>
      </c>
      <c r="P55" s="285">
        <f t="shared" si="10"/>
        <v>0</v>
      </c>
      <c r="Q55" s="286">
        <f>SUM(B55:P55)</f>
        <v>0</v>
      </c>
    </row>
    <row r="56" spans="1:17" s="291" customFormat="1" ht="21">
      <c r="A56" s="288" t="s">
        <v>18</v>
      </c>
      <c r="B56" s="289">
        <f>0</f>
        <v>0</v>
      </c>
      <c r="C56" s="289">
        <v>0</v>
      </c>
      <c r="D56" s="289">
        <f>0</f>
        <v>0</v>
      </c>
      <c r="E56" s="289">
        <f>0</f>
        <v>0</v>
      </c>
      <c r="F56" s="289">
        <v>0</v>
      </c>
      <c r="G56" s="289">
        <f>0</f>
        <v>0</v>
      </c>
      <c r="H56" s="289">
        <f>0</f>
        <v>0</v>
      </c>
      <c r="I56" s="289">
        <f>0</f>
        <v>0</v>
      </c>
      <c r="J56" s="289">
        <v>0</v>
      </c>
      <c r="K56" s="289">
        <f>0</f>
        <v>0</v>
      </c>
      <c r="L56" s="289">
        <v>0</v>
      </c>
      <c r="M56" s="289">
        <f>0</f>
        <v>0</v>
      </c>
      <c r="N56" s="289"/>
      <c r="O56" s="289">
        <f>0</f>
        <v>0</v>
      </c>
      <c r="P56" s="289">
        <f>0</f>
        <v>0</v>
      </c>
      <c r="Q56" s="290">
        <f>SUM(B56:P56)</f>
        <v>0</v>
      </c>
    </row>
    <row r="57" spans="1:17" s="91" customFormat="1" ht="21">
      <c r="A57" s="231" t="s">
        <v>69</v>
      </c>
      <c r="B57" s="286">
        <f aca="true" t="shared" si="11" ref="B57:J58">B8+B12+B16+B20+B24+B28+B39+B43+B47+B51+B55</f>
        <v>0</v>
      </c>
      <c r="C57" s="286">
        <f t="shared" si="11"/>
        <v>68145</v>
      </c>
      <c r="D57" s="286">
        <f t="shared" si="11"/>
        <v>0</v>
      </c>
      <c r="E57" s="286">
        <f t="shared" si="11"/>
        <v>0</v>
      </c>
      <c r="F57" s="286">
        <f t="shared" si="11"/>
        <v>0</v>
      </c>
      <c r="G57" s="286">
        <f t="shared" si="11"/>
        <v>0</v>
      </c>
      <c r="H57" s="286">
        <f t="shared" si="11"/>
        <v>0</v>
      </c>
      <c r="I57" s="286">
        <f t="shared" si="11"/>
        <v>0</v>
      </c>
      <c r="J57" s="286">
        <f t="shared" si="11"/>
        <v>0</v>
      </c>
      <c r="K57" s="286">
        <v>0</v>
      </c>
      <c r="L57" s="286">
        <f aca="true" t="shared" si="12" ref="L57:P58">L8+L12+L16+L20+L24+L28+L39+L43+L47+L51+L55</f>
        <v>0</v>
      </c>
      <c r="M57" s="286">
        <f t="shared" si="12"/>
        <v>0</v>
      </c>
      <c r="N57" s="286">
        <f t="shared" si="12"/>
        <v>0</v>
      </c>
      <c r="O57" s="286">
        <f t="shared" si="12"/>
        <v>0</v>
      </c>
      <c r="P57" s="286">
        <f t="shared" si="12"/>
        <v>0</v>
      </c>
      <c r="Q57" s="286">
        <f>SUM(B57:P57)</f>
        <v>68145</v>
      </c>
    </row>
    <row r="58" spans="1:17" s="291" customFormat="1" ht="21">
      <c r="A58" s="288" t="s">
        <v>100</v>
      </c>
      <c r="B58" s="290">
        <f t="shared" si="11"/>
        <v>5500</v>
      </c>
      <c r="C58" s="290">
        <f t="shared" si="11"/>
        <v>474925</v>
      </c>
      <c r="D58" s="290">
        <f t="shared" si="11"/>
        <v>0</v>
      </c>
      <c r="E58" s="290">
        <f t="shared" si="11"/>
        <v>0</v>
      </c>
      <c r="F58" s="290">
        <f t="shared" si="11"/>
        <v>0</v>
      </c>
      <c r="G58" s="290">
        <f t="shared" si="11"/>
        <v>0</v>
      </c>
      <c r="H58" s="290">
        <f t="shared" si="11"/>
        <v>478950</v>
      </c>
      <c r="I58" s="290">
        <f t="shared" si="11"/>
        <v>0</v>
      </c>
      <c r="J58" s="290">
        <f t="shared" si="11"/>
        <v>0</v>
      </c>
      <c r="K58" s="290">
        <v>0</v>
      </c>
      <c r="L58" s="290">
        <f t="shared" si="12"/>
        <v>0</v>
      </c>
      <c r="M58" s="290">
        <f t="shared" si="12"/>
        <v>0</v>
      </c>
      <c r="N58" s="290">
        <f t="shared" si="12"/>
        <v>0</v>
      </c>
      <c r="O58" s="290">
        <f t="shared" si="12"/>
        <v>0</v>
      </c>
      <c r="P58" s="290">
        <f t="shared" si="12"/>
        <v>0</v>
      </c>
      <c r="Q58" s="290">
        <f>SUM(B58:P58)</f>
        <v>959375</v>
      </c>
    </row>
    <row r="59" spans="1:17" s="291" customFormat="1" ht="21">
      <c r="A59" s="307"/>
      <c r="B59" s="308"/>
      <c r="C59" s="308"/>
      <c r="D59" s="584" t="s">
        <v>7</v>
      </c>
      <c r="E59" s="584"/>
      <c r="F59" s="584"/>
      <c r="G59" s="584"/>
      <c r="H59" s="301"/>
      <c r="I59" s="301"/>
      <c r="J59" s="301"/>
      <c r="K59" s="584" t="s">
        <v>97</v>
      </c>
      <c r="L59" s="584"/>
      <c r="M59" s="584"/>
      <c r="N59" s="308"/>
      <c r="O59" s="308"/>
      <c r="P59" s="308"/>
      <c r="Q59" s="309"/>
    </row>
    <row r="60" spans="1:17" s="291" customFormat="1" ht="21">
      <c r="A60" s="310"/>
      <c r="B60" s="303"/>
      <c r="C60" s="303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3"/>
      <c r="O60" s="303"/>
      <c r="P60" s="303"/>
      <c r="Q60" s="302"/>
    </row>
    <row r="61" spans="1:17" s="307" customFormat="1" ht="21">
      <c r="A61" s="310"/>
      <c r="B61" s="303"/>
      <c r="C61" s="303"/>
      <c r="D61" s="585" t="s">
        <v>114</v>
      </c>
      <c r="E61" s="585"/>
      <c r="F61" s="585"/>
      <c r="G61" s="585"/>
      <c r="H61" s="301"/>
      <c r="I61" s="301"/>
      <c r="J61" s="301"/>
      <c r="K61" s="585" t="s">
        <v>273</v>
      </c>
      <c r="L61" s="585"/>
      <c r="M61" s="585"/>
      <c r="N61" s="303"/>
      <c r="O61" s="303"/>
      <c r="P61" s="303"/>
      <c r="Q61" s="302"/>
    </row>
    <row r="62" spans="1:17" s="91" customFormat="1" ht="21">
      <c r="A62" s="239"/>
      <c r="B62" s="311"/>
      <c r="C62" s="311"/>
      <c r="D62" s="585" t="s">
        <v>281</v>
      </c>
      <c r="E62" s="585"/>
      <c r="F62" s="585"/>
      <c r="G62" s="585"/>
      <c r="H62" s="301"/>
      <c r="I62" s="301"/>
      <c r="J62" s="301"/>
      <c r="K62" s="585" t="s">
        <v>96</v>
      </c>
      <c r="L62" s="585"/>
      <c r="M62" s="585"/>
      <c r="N62" s="311"/>
      <c r="O62" s="311"/>
      <c r="P62" s="311"/>
      <c r="Q62" s="187"/>
    </row>
  </sheetData>
  <sheetProtection/>
  <mergeCells count="26">
    <mergeCell ref="A1:Q1"/>
    <mergeCell ref="A2:Q2"/>
    <mergeCell ref="A3:Q3"/>
    <mergeCell ref="C4:D4"/>
    <mergeCell ref="E4:F4"/>
    <mergeCell ref="G4:H4"/>
    <mergeCell ref="I4:J4"/>
    <mergeCell ref="K4:L4"/>
    <mergeCell ref="D30:G30"/>
    <mergeCell ref="K30:M30"/>
    <mergeCell ref="D32:G32"/>
    <mergeCell ref="K32:M32"/>
    <mergeCell ref="D33:G33"/>
    <mergeCell ref="K33:M33"/>
    <mergeCell ref="A34:Q34"/>
    <mergeCell ref="C35:D35"/>
    <mergeCell ref="E35:F35"/>
    <mergeCell ref="G35:H35"/>
    <mergeCell ref="I35:J35"/>
    <mergeCell ref="K35:L35"/>
    <mergeCell ref="D59:G59"/>
    <mergeCell ref="K59:M59"/>
    <mergeCell ref="D61:G61"/>
    <mergeCell ref="K61:M61"/>
    <mergeCell ref="D62:G62"/>
    <mergeCell ref="K62:M62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85" zoomScaleSheetLayoutView="100" zoomScalePageLayoutView="0" workbookViewId="0" topLeftCell="A1">
      <selection activeCell="B62" sqref="B62"/>
    </sheetView>
  </sheetViews>
  <sheetFormatPr defaultColWidth="9.140625" defaultRowHeight="21.75"/>
  <cols>
    <col min="1" max="1" width="25.8515625" style="0" bestFit="1" customWidth="1"/>
    <col min="2" max="2" width="10.00390625" style="0" bestFit="1" customWidth="1"/>
    <col min="3" max="3" width="9.57421875" style="0" customWidth="1"/>
    <col min="4" max="6" width="6.140625" style="0" bestFit="1" customWidth="1"/>
    <col min="7" max="7" width="8.57421875" style="0" customWidth="1"/>
    <col min="8" max="8" width="10.00390625" style="0" bestFit="1" customWidth="1"/>
    <col min="9" max="9" width="10.57421875" style="0" bestFit="1" customWidth="1"/>
    <col min="11" max="11" width="9.8515625" style="0" customWidth="1"/>
    <col min="12" max="12" width="9.28125" style="0" customWidth="1"/>
    <col min="13" max="13" width="10.421875" style="0" bestFit="1" customWidth="1"/>
    <col min="14" max="14" width="9.00390625" style="0" customWidth="1"/>
    <col min="15" max="15" width="9.421875" style="0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71" t="s">
        <v>12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</row>
    <row r="2" spans="1:17" ht="21" customHeight="1">
      <c r="A2" s="571" t="s">
        <v>103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</row>
    <row r="3" spans="1:17" ht="21.75" customHeight="1" thickBot="1">
      <c r="A3" s="593" t="s">
        <v>261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17" s="341" customFormat="1" ht="19.5" customHeight="1">
      <c r="A4" s="336" t="s">
        <v>14</v>
      </c>
      <c r="B4" s="337" t="s">
        <v>76</v>
      </c>
      <c r="C4" s="595" t="s">
        <v>78</v>
      </c>
      <c r="D4" s="596"/>
      <c r="E4" s="595" t="s">
        <v>81</v>
      </c>
      <c r="F4" s="596"/>
      <c r="G4" s="595" t="s">
        <v>82</v>
      </c>
      <c r="H4" s="596"/>
      <c r="I4" s="595" t="s">
        <v>83</v>
      </c>
      <c r="J4" s="597"/>
      <c r="K4" s="595" t="s">
        <v>87</v>
      </c>
      <c r="L4" s="596"/>
      <c r="M4" s="337" t="s">
        <v>88</v>
      </c>
      <c r="N4" s="338" t="s">
        <v>91</v>
      </c>
      <c r="O4" s="339" t="s">
        <v>92</v>
      </c>
      <c r="P4" s="339" t="s">
        <v>95</v>
      </c>
      <c r="Q4" s="340" t="s">
        <v>15</v>
      </c>
    </row>
    <row r="5" spans="1:17" s="341" customFormat="1" ht="19.5" customHeight="1" thickBot="1">
      <c r="A5" s="342" t="s">
        <v>16</v>
      </c>
      <c r="B5" s="343" t="s">
        <v>77</v>
      </c>
      <c r="C5" s="344" t="s">
        <v>79</v>
      </c>
      <c r="D5" s="345" t="s">
        <v>80</v>
      </c>
      <c r="E5" s="343" t="s">
        <v>72</v>
      </c>
      <c r="F5" s="343" t="s">
        <v>73</v>
      </c>
      <c r="G5" s="343" t="s">
        <v>74</v>
      </c>
      <c r="H5" s="343" t="s">
        <v>75</v>
      </c>
      <c r="I5" s="345" t="s">
        <v>84</v>
      </c>
      <c r="J5" s="346" t="s">
        <v>85</v>
      </c>
      <c r="K5" s="344" t="s">
        <v>86</v>
      </c>
      <c r="L5" s="344" t="s">
        <v>105</v>
      </c>
      <c r="M5" s="344" t="s">
        <v>89</v>
      </c>
      <c r="N5" s="347" t="s">
        <v>90</v>
      </c>
      <c r="O5" s="348" t="s">
        <v>93</v>
      </c>
      <c r="P5" s="348" t="s">
        <v>94</v>
      </c>
      <c r="Q5" s="349"/>
    </row>
    <row r="6" spans="1:17" ht="19.5" customHeight="1">
      <c r="A6" s="241" t="s">
        <v>218</v>
      </c>
      <c r="B6" s="242"/>
      <c r="C6" s="242"/>
      <c r="D6" s="243"/>
      <c r="E6" s="242"/>
      <c r="F6" s="242"/>
      <c r="G6" s="242"/>
      <c r="H6" s="242"/>
      <c r="I6" s="242"/>
      <c r="J6" s="244"/>
      <c r="K6" s="243"/>
      <c r="L6" s="243"/>
      <c r="M6" s="243"/>
      <c r="N6" s="244"/>
      <c r="O6" s="244"/>
      <c r="P6" s="244"/>
      <c r="Q6" s="244"/>
    </row>
    <row r="7" spans="1:17" ht="19.5" customHeight="1">
      <c r="A7" s="245" t="s">
        <v>195</v>
      </c>
      <c r="B7" s="246">
        <v>48000</v>
      </c>
      <c r="C7" s="39">
        <v>0</v>
      </c>
      <c r="D7" s="247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48000</v>
      </c>
    </row>
    <row r="8" spans="1:17" ht="19.5" customHeight="1">
      <c r="A8" s="248" t="s">
        <v>17</v>
      </c>
      <c r="B8" s="246">
        <f aca="true" t="shared" si="0" ref="B8:P8">SUM(B7:B7)</f>
        <v>48000</v>
      </c>
      <c r="C8" s="246">
        <f t="shared" si="0"/>
        <v>0</v>
      </c>
      <c r="D8" s="246">
        <f t="shared" si="0"/>
        <v>0</v>
      </c>
      <c r="E8" s="246">
        <f t="shared" si="0"/>
        <v>0</v>
      </c>
      <c r="F8" s="246">
        <f t="shared" si="0"/>
        <v>0</v>
      </c>
      <c r="G8" s="246">
        <f t="shared" si="0"/>
        <v>0</v>
      </c>
      <c r="H8" s="246">
        <f t="shared" si="0"/>
        <v>0</v>
      </c>
      <c r="I8" s="246">
        <f t="shared" si="0"/>
        <v>0</v>
      </c>
      <c r="J8" s="246">
        <f t="shared" si="0"/>
        <v>0</v>
      </c>
      <c r="K8" s="246">
        <f t="shared" si="0"/>
        <v>0</v>
      </c>
      <c r="L8" s="246">
        <f t="shared" si="0"/>
        <v>0</v>
      </c>
      <c r="M8" s="246">
        <f t="shared" si="0"/>
        <v>0</v>
      </c>
      <c r="N8" s="246">
        <f t="shared" si="0"/>
        <v>0</v>
      </c>
      <c r="O8" s="246">
        <f t="shared" si="0"/>
        <v>0</v>
      </c>
      <c r="P8" s="246">
        <f t="shared" si="0"/>
        <v>0</v>
      </c>
      <c r="Q8" s="39">
        <f>SUM(B8:P8)</f>
        <v>48000</v>
      </c>
    </row>
    <row r="9" spans="1:17" s="38" customFormat="1" ht="19.5" customHeight="1">
      <c r="A9" s="249" t="s">
        <v>18</v>
      </c>
      <c r="B9" s="250">
        <v>48000</v>
      </c>
      <c r="C9" s="250">
        <f>0</f>
        <v>0</v>
      </c>
      <c r="D9" s="250">
        <f>0</f>
        <v>0</v>
      </c>
      <c r="E9" s="250">
        <f>0</f>
        <v>0</v>
      </c>
      <c r="F9" s="250">
        <f>0</f>
        <v>0</v>
      </c>
      <c r="G9" s="250">
        <f>0</f>
        <v>0</v>
      </c>
      <c r="H9" s="250">
        <f>0</f>
        <v>0</v>
      </c>
      <c r="I9" s="250">
        <f>0</f>
        <v>0</v>
      </c>
      <c r="J9" s="250">
        <f>0</f>
        <v>0</v>
      </c>
      <c r="K9" s="250">
        <f>0</f>
        <v>0</v>
      </c>
      <c r="L9" s="250">
        <f>0</f>
        <v>0</v>
      </c>
      <c r="M9" s="250">
        <f>0</f>
        <v>0</v>
      </c>
      <c r="N9" s="250">
        <f>0</f>
        <v>0</v>
      </c>
      <c r="O9" s="250">
        <f>0</f>
        <v>0</v>
      </c>
      <c r="P9" s="250">
        <f>0</f>
        <v>0</v>
      </c>
      <c r="Q9" s="40">
        <f>SUM(B9:P9)</f>
        <v>48000</v>
      </c>
    </row>
    <row r="10" spans="1:17" ht="19.5" customHeight="1">
      <c r="A10" s="251" t="s">
        <v>219</v>
      </c>
      <c r="B10" s="246"/>
      <c r="C10" s="39"/>
      <c r="D10" s="247"/>
      <c r="E10" s="39"/>
      <c r="F10" s="39"/>
      <c r="G10" s="39"/>
      <c r="H10" s="39"/>
      <c r="I10" s="39"/>
      <c r="J10" s="39"/>
      <c r="K10" s="247"/>
      <c r="L10" s="247"/>
      <c r="M10" s="247"/>
      <c r="N10" s="39"/>
      <c r="O10" s="39"/>
      <c r="P10" s="39"/>
      <c r="Q10" s="39"/>
    </row>
    <row r="11" spans="1:17" ht="19.5" customHeight="1">
      <c r="A11" s="248">
        <v>210100</v>
      </c>
      <c r="B11" s="246">
        <v>0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39">
        <f>SUM(B11:P11)</f>
        <v>0</v>
      </c>
    </row>
    <row r="12" spans="1:17" ht="19.5" customHeight="1">
      <c r="A12" s="248" t="s">
        <v>17</v>
      </c>
      <c r="B12" s="246">
        <f aca="true" t="shared" si="1" ref="B12:P12">SUM(B11:B11)</f>
        <v>0</v>
      </c>
      <c r="C12" s="246">
        <f t="shared" si="1"/>
        <v>0</v>
      </c>
      <c r="D12" s="246">
        <f t="shared" si="1"/>
        <v>0</v>
      </c>
      <c r="E12" s="246">
        <f t="shared" si="1"/>
        <v>0</v>
      </c>
      <c r="F12" s="246">
        <f t="shared" si="1"/>
        <v>0</v>
      </c>
      <c r="G12" s="246">
        <f t="shared" si="1"/>
        <v>0</v>
      </c>
      <c r="H12" s="246">
        <f t="shared" si="1"/>
        <v>0</v>
      </c>
      <c r="I12" s="246">
        <f t="shared" si="1"/>
        <v>0</v>
      </c>
      <c r="J12" s="246">
        <f t="shared" si="1"/>
        <v>0</v>
      </c>
      <c r="K12" s="246">
        <f t="shared" si="1"/>
        <v>0</v>
      </c>
      <c r="L12" s="246">
        <f t="shared" si="1"/>
        <v>0</v>
      </c>
      <c r="M12" s="246">
        <f t="shared" si="1"/>
        <v>0</v>
      </c>
      <c r="N12" s="246">
        <f t="shared" si="1"/>
        <v>0</v>
      </c>
      <c r="O12" s="246">
        <f t="shared" si="1"/>
        <v>0</v>
      </c>
      <c r="P12" s="246">
        <f t="shared" si="1"/>
        <v>0</v>
      </c>
      <c r="Q12" s="39">
        <f>SUM(B12:P12)</f>
        <v>0</v>
      </c>
    </row>
    <row r="13" spans="1:17" s="38" customFormat="1" ht="19.5" customHeight="1">
      <c r="A13" s="249" t="s">
        <v>18</v>
      </c>
      <c r="B13" s="250">
        <f>0</f>
        <v>0</v>
      </c>
      <c r="C13" s="250">
        <v>0</v>
      </c>
      <c r="D13" s="250">
        <v>0</v>
      </c>
      <c r="E13" s="250">
        <f>0</f>
        <v>0</v>
      </c>
      <c r="F13" s="250">
        <f>0</f>
        <v>0</v>
      </c>
      <c r="G13" s="250">
        <v>0</v>
      </c>
      <c r="H13" s="250">
        <f>0</f>
        <v>0</v>
      </c>
      <c r="I13" s="250">
        <f>0</f>
        <v>0</v>
      </c>
      <c r="J13" s="250">
        <f>0</f>
        <v>0</v>
      </c>
      <c r="K13" s="250">
        <f>0</f>
        <v>0</v>
      </c>
      <c r="L13" s="250">
        <f>0</f>
        <v>0</v>
      </c>
      <c r="M13" s="250">
        <f>0</f>
        <v>0</v>
      </c>
      <c r="N13" s="250">
        <f>0</f>
        <v>0</v>
      </c>
      <c r="O13" s="250">
        <f>0</f>
        <v>0</v>
      </c>
      <c r="P13" s="250">
        <f>0</f>
        <v>0</v>
      </c>
      <c r="Q13" s="40">
        <f>SUM(B13:P13)</f>
        <v>0</v>
      </c>
    </row>
    <row r="14" spans="1:17" ht="19.5" customHeight="1">
      <c r="A14" s="251" t="s">
        <v>220</v>
      </c>
      <c r="B14" s="246"/>
      <c r="C14" s="246"/>
      <c r="D14" s="252"/>
      <c r="E14" s="39"/>
      <c r="F14" s="39"/>
      <c r="G14" s="39"/>
      <c r="H14" s="246"/>
      <c r="I14" s="39"/>
      <c r="J14" s="39"/>
      <c r="K14" s="247"/>
      <c r="L14" s="247"/>
      <c r="M14" s="247"/>
      <c r="N14" s="39"/>
      <c r="O14" s="39"/>
      <c r="P14" s="39"/>
      <c r="Q14" s="39"/>
    </row>
    <row r="15" spans="1:17" ht="19.5" customHeight="1">
      <c r="A15" s="248">
        <v>220100</v>
      </c>
      <c r="B15" s="246">
        <v>0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39">
        <f>SUM(B15:P15)</f>
        <v>0</v>
      </c>
    </row>
    <row r="16" spans="1:17" ht="19.5" customHeight="1">
      <c r="A16" s="248" t="s">
        <v>17</v>
      </c>
      <c r="B16" s="246">
        <f aca="true" t="shared" si="2" ref="B16:P16">B15</f>
        <v>0</v>
      </c>
      <c r="C16" s="246">
        <f t="shared" si="2"/>
        <v>0</v>
      </c>
      <c r="D16" s="246">
        <f t="shared" si="2"/>
        <v>0</v>
      </c>
      <c r="E16" s="246">
        <f t="shared" si="2"/>
        <v>0</v>
      </c>
      <c r="F16" s="246">
        <f t="shared" si="2"/>
        <v>0</v>
      </c>
      <c r="G16" s="246">
        <f t="shared" si="2"/>
        <v>0</v>
      </c>
      <c r="H16" s="246">
        <f t="shared" si="2"/>
        <v>0</v>
      </c>
      <c r="I16" s="246">
        <f t="shared" si="2"/>
        <v>0</v>
      </c>
      <c r="J16" s="246">
        <f t="shared" si="2"/>
        <v>0</v>
      </c>
      <c r="K16" s="246">
        <f t="shared" si="2"/>
        <v>0</v>
      </c>
      <c r="L16" s="246">
        <f t="shared" si="2"/>
        <v>0</v>
      </c>
      <c r="M16" s="246">
        <f t="shared" si="2"/>
        <v>0</v>
      </c>
      <c r="N16" s="246">
        <f t="shared" si="2"/>
        <v>0</v>
      </c>
      <c r="O16" s="246">
        <f t="shared" si="2"/>
        <v>0</v>
      </c>
      <c r="P16" s="246">
        <f t="shared" si="2"/>
        <v>0</v>
      </c>
      <c r="Q16" s="39">
        <f>SUM(B16:P16)</f>
        <v>0</v>
      </c>
    </row>
    <row r="17" spans="1:17" s="38" customFormat="1" ht="19.5" customHeight="1">
      <c r="A17" s="249" t="s">
        <v>18</v>
      </c>
      <c r="B17" s="250">
        <f>0</f>
        <v>0</v>
      </c>
      <c r="C17" s="250">
        <v>0</v>
      </c>
      <c r="D17" s="250">
        <v>0</v>
      </c>
      <c r="E17" s="250">
        <f>0</f>
        <v>0</v>
      </c>
      <c r="F17" s="250">
        <f>0</f>
        <v>0</v>
      </c>
      <c r="G17" s="250">
        <f>0</f>
        <v>0</v>
      </c>
      <c r="H17" s="250">
        <f>0</f>
        <v>0</v>
      </c>
      <c r="I17" s="250">
        <f>0</f>
        <v>0</v>
      </c>
      <c r="J17" s="253">
        <f>0</f>
        <v>0</v>
      </c>
      <c r="K17" s="250">
        <f>0</f>
        <v>0</v>
      </c>
      <c r="L17" s="250">
        <f>0</f>
        <v>0</v>
      </c>
      <c r="M17" s="250">
        <f>0</f>
        <v>0</v>
      </c>
      <c r="N17" s="250">
        <f>0</f>
        <v>0</v>
      </c>
      <c r="O17" s="250">
        <f>0</f>
        <v>0</v>
      </c>
      <c r="P17" s="250">
        <f>0</f>
        <v>0</v>
      </c>
      <c r="Q17" s="40">
        <f>SUM(B17:P17)</f>
        <v>0</v>
      </c>
    </row>
    <row r="18" spans="1:17" ht="19.5" customHeight="1">
      <c r="A18" s="254" t="s">
        <v>221</v>
      </c>
      <c r="B18" s="255"/>
      <c r="C18" s="255"/>
      <c r="D18" s="256"/>
      <c r="E18" s="242"/>
      <c r="F18" s="242"/>
      <c r="G18" s="242"/>
      <c r="H18" s="255"/>
      <c r="I18" s="242"/>
      <c r="J18" s="39"/>
      <c r="K18" s="243"/>
      <c r="L18" s="243"/>
      <c r="M18" s="243"/>
      <c r="N18" s="242"/>
      <c r="O18" s="39"/>
      <c r="P18" s="39"/>
      <c r="Q18" s="39"/>
    </row>
    <row r="19" spans="1:17" ht="19.5" customHeight="1">
      <c r="A19" s="248">
        <v>310300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39">
        <f>SUM(B19:P19)</f>
        <v>0</v>
      </c>
    </row>
    <row r="20" spans="1:17" ht="19.5" customHeight="1">
      <c r="A20" s="248" t="s">
        <v>17</v>
      </c>
      <c r="B20" s="246">
        <f aca="true" t="shared" si="3" ref="B20:P20">SUM(B19:B19)</f>
        <v>0</v>
      </c>
      <c r="C20" s="246">
        <f t="shared" si="3"/>
        <v>0</v>
      </c>
      <c r="D20" s="246">
        <f t="shared" si="3"/>
        <v>0</v>
      </c>
      <c r="E20" s="246">
        <f t="shared" si="3"/>
        <v>0</v>
      </c>
      <c r="F20" s="246">
        <f t="shared" si="3"/>
        <v>0</v>
      </c>
      <c r="G20" s="246">
        <f t="shared" si="3"/>
        <v>0</v>
      </c>
      <c r="H20" s="246">
        <f t="shared" si="3"/>
        <v>0</v>
      </c>
      <c r="I20" s="246">
        <f t="shared" si="3"/>
        <v>0</v>
      </c>
      <c r="J20" s="246">
        <f t="shared" si="3"/>
        <v>0</v>
      </c>
      <c r="K20" s="246">
        <f t="shared" si="3"/>
        <v>0</v>
      </c>
      <c r="L20" s="246">
        <f t="shared" si="3"/>
        <v>0</v>
      </c>
      <c r="M20" s="246">
        <f t="shared" si="3"/>
        <v>0</v>
      </c>
      <c r="N20" s="246">
        <f t="shared" si="3"/>
        <v>0</v>
      </c>
      <c r="O20" s="246">
        <f t="shared" si="3"/>
        <v>0</v>
      </c>
      <c r="P20" s="246">
        <f t="shared" si="3"/>
        <v>0</v>
      </c>
      <c r="Q20" s="39">
        <f>SUM(B20:P20)</f>
        <v>0</v>
      </c>
    </row>
    <row r="21" spans="1:17" s="38" customFormat="1" ht="19.5" customHeight="1">
      <c r="A21" s="249" t="s">
        <v>18</v>
      </c>
      <c r="B21" s="250">
        <f>0</f>
        <v>0</v>
      </c>
      <c r="C21" s="250">
        <v>0</v>
      </c>
      <c r="D21" s="250">
        <v>0</v>
      </c>
      <c r="E21" s="250">
        <f>0</f>
        <v>0</v>
      </c>
      <c r="F21" s="250">
        <f>0</f>
        <v>0</v>
      </c>
      <c r="G21" s="250">
        <v>0</v>
      </c>
      <c r="H21" s="250">
        <f>0</f>
        <v>0</v>
      </c>
      <c r="I21" s="250">
        <f>0</f>
        <v>0</v>
      </c>
      <c r="J21" s="250">
        <f>0</f>
        <v>0</v>
      </c>
      <c r="K21" s="250">
        <f>0</f>
        <v>0</v>
      </c>
      <c r="L21" s="250">
        <v>0</v>
      </c>
      <c r="M21" s="250">
        <f>0</f>
        <v>0</v>
      </c>
      <c r="N21" s="250">
        <f>0</f>
        <v>0</v>
      </c>
      <c r="O21" s="250">
        <f>0</f>
        <v>0</v>
      </c>
      <c r="P21" s="250">
        <f>0</f>
        <v>0</v>
      </c>
      <c r="Q21" s="40">
        <f>SUM(B21:P21)</f>
        <v>0</v>
      </c>
    </row>
    <row r="22" spans="1:17" ht="19.5" customHeight="1">
      <c r="A22" s="251" t="s">
        <v>222</v>
      </c>
      <c r="B22" s="246"/>
      <c r="C22" s="246"/>
      <c r="D22" s="252"/>
      <c r="E22" s="39"/>
      <c r="F22" s="39"/>
      <c r="G22" s="39"/>
      <c r="H22" s="246"/>
      <c r="I22" s="39"/>
      <c r="J22" s="39"/>
      <c r="K22" s="247"/>
      <c r="L22" s="247"/>
      <c r="M22" s="247"/>
      <c r="N22" s="246"/>
      <c r="O22" s="39"/>
      <c r="P22" s="39"/>
      <c r="Q22" s="39"/>
    </row>
    <row r="23" spans="1:17" ht="19.5" customHeight="1">
      <c r="A23" s="248">
        <v>320100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39">
        <f>SUM(B23:P23)</f>
        <v>0</v>
      </c>
    </row>
    <row r="24" spans="1:17" ht="19.5" customHeight="1">
      <c r="A24" s="248">
        <v>320300</v>
      </c>
      <c r="B24" s="246">
        <v>0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39">
        <f>SUM(B24:P24)</f>
        <v>0</v>
      </c>
    </row>
    <row r="25" spans="1:17" ht="19.5" customHeight="1">
      <c r="A25" s="248" t="s">
        <v>17</v>
      </c>
      <c r="B25" s="246">
        <f>SUM(B23:B24)</f>
        <v>0</v>
      </c>
      <c r="C25" s="246">
        <f aca="true" t="shared" si="4" ref="C25:Q25">SUM(C23:C24)</f>
        <v>0</v>
      </c>
      <c r="D25" s="246">
        <f t="shared" si="4"/>
        <v>0</v>
      </c>
      <c r="E25" s="246">
        <f t="shared" si="4"/>
        <v>0</v>
      </c>
      <c r="F25" s="246">
        <f t="shared" si="4"/>
        <v>0</v>
      </c>
      <c r="G25" s="246">
        <f t="shared" si="4"/>
        <v>0</v>
      </c>
      <c r="H25" s="246">
        <f t="shared" si="4"/>
        <v>0</v>
      </c>
      <c r="I25" s="246">
        <f t="shared" si="4"/>
        <v>0</v>
      </c>
      <c r="J25" s="246">
        <f t="shared" si="4"/>
        <v>0</v>
      </c>
      <c r="K25" s="246">
        <f t="shared" si="4"/>
        <v>0</v>
      </c>
      <c r="L25" s="246">
        <f t="shared" si="4"/>
        <v>0</v>
      </c>
      <c r="M25" s="246">
        <f t="shared" si="4"/>
        <v>0</v>
      </c>
      <c r="N25" s="246">
        <f t="shared" si="4"/>
        <v>0</v>
      </c>
      <c r="O25" s="246">
        <f t="shared" si="4"/>
        <v>0</v>
      </c>
      <c r="P25" s="246">
        <f t="shared" si="4"/>
        <v>0</v>
      </c>
      <c r="Q25" s="246">
        <f t="shared" si="4"/>
        <v>0</v>
      </c>
    </row>
    <row r="26" spans="1:17" s="38" customFormat="1" ht="19.5" customHeight="1">
      <c r="A26" s="257" t="s">
        <v>18</v>
      </c>
      <c r="B26" s="250">
        <f>0</f>
        <v>0</v>
      </c>
      <c r="C26" s="250">
        <v>0</v>
      </c>
      <c r="D26" s="250">
        <f>0</f>
        <v>0</v>
      </c>
      <c r="E26" s="250">
        <f>0</f>
        <v>0</v>
      </c>
      <c r="F26" s="250">
        <f>0</f>
        <v>0</v>
      </c>
      <c r="G26" s="250">
        <v>0</v>
      </c>
      <c r="H26" s="250">
        <f>0</f>
        <v>0</v>
      </c>
      <c r="I26" s="250">
        <v>0</v>
      </c>
      <c r="J26" s="250">
        <f>0</f>
        <v>0</v>
      </c>
      <c r="K26" s="250">
        <f>0</f>
        <v>0</v>
      </c>
      <c r="L26" s="250">
        <v>0</v>
      </c>
      <c r="M26" s="250">
        <f>0</f>
        <v>0</v>
      </c>
      <c r="N26" s="250">
        <f>0</f>
        <v>0</v>
      </c>
      <c r="O26" s="250">
        <f>0</f>
        <v>0</v>
      </c>
      <c r="P26" s="250">
        <f>0</f>
        <v>0</v>
      </c>
      <c r="Q26" s="40">
        <f>SUM(B26:P26)</f>
        <v>0</v>
      </c>
    </row>
    <row r="27" spans="1:17" ht="19.5" customHeight="1">
      <c r="A27" s="251" t="s">
        <v>223</v>
      </c>
      <c r="B27" s="255"/>
      <c r="C27" s="246"/>
      <c r="D27" s="256"/>
      <c r="E27" s="242"/>
      <c r="F27" s="246"/>
      <c r="G27" s="246"/>
      <c r="H27" s="246"/>
      <c r="I27" s="258"/>
      <c r="J27" s="255"/>
      <c r="K27" s="252"/>
      <c r="L27" s="256"/>
      <c r="M27" s="243"/>
      <c r="N27" s="246"/>
      <c r="O27" s="39"/>
      <c r="P27" s="39"/>
      <c r="Q27" s="39"/>
    </row>
    <row r="28" spans="1:17" ht="19.5" customHeight="1">
      <c r="A28" s="248">
        <v>331700</v>
      </c>
      <c r="B28" s="246">
        <v>0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39">
        <f>SUM(B28:P28)</f>
        <v>0</v>
      </c>
    </row>
    <row r="29" spans="1:17" ht="19.5" customHeight="1">
      <c r="A29" s="248" t="s">
        <v>17</v>
      </c>
      <c r="B29" s="246">
        <f aca="true" t="shared" si="5" ref="B29:P29">SUM(B28:B28)</f>
        <v>0</v>
      </c>
      <c r="C29" s="246">
        <f t="shared" si="5"/>
        <v>0</v>
      </c>
      <c r="D29" s="246">
        <f t="shared" si="5"/>
        <v>0</v>
      </c>
      <c r="E29" s="246">
        <f t="shared" si="5"/>
        <v>0</v>
      </c>
      <c r="F29" s="246">
        <f t="shared" si="5"/>
        <v>0</v>
      </c>
      <c r="G29" s="246">
        <f t="shared" si="5"/>
        <v>0</v>
      </c>
      <c r="H29" s="246">
        <f t="shared" si="5"/>
        <v>0</v>
      </c>
      <c r="I29" s="246">
        <f t="shared" si="5"/>
        <v>0</v>
      </c>
      <c r="J29" s="246">
        <f t="shared" si="5"/>
        <v>0</v>
      </c>
      <c r="K29" s="246">
        <f t="shared" si="5"/>
        <v>0</v>
      </c>
      <c r="L29" s="246">
        <f t="shared" si="5"/>
        <v>0</v>
      </c>
      <c r="M29" s="246">
        <f t="shared" si="5"/>
        <v>0</v>
      </c>
      <c r="N29" s="246">
        <f t="shared" si="5"/>
        <v>0</v>
      </c>
      <c r="O29" s="246">
        <f t="shared" si="5"/>
        <v>0</v>
      </c>
      <c r="P29" s="246">
        <f t="shared" si="5"/>
        <v>0</v>
      </c>
      <c r="Q29" s="39">
        <f>SUM(B29:P29)</f>
        <v>0</v>
      </c>
    </row>
    <row r="30" spans="1:17" s="38" customFormat="1" ht="19.5" customHeight="1">
      <c r="A30" s="249" t="s">
        <v>18</v>
      </c>
      <c r="B30" s="250">
        <f>0</f>
        <v>0</v>
      </c>
      <c r="C30" s="250">
        <v>0</v>
      </c>
      <c r="D30" s="250">
        <v>0</v>
      </c>
      <c r="E30" s="250">
        <f>0</f>
        <v>0</v>
      </c>
      <c r="F30" s="250">
        <f>0</f>
        <v>0</v>
      </c>
      <c r="G30" s="250">
        <v>0</v>
      </c>
      <c r="H30" s="250">
        <f>0</f>
        <v>0</v>
      </c>
      <c r="I30" s="250">
        <f>0</f>
        <v>0</v>
      </c>
      <c r="J30" s="250">
        <f>0</f>
        <v>0</v>
      </c>
      <c r="K30" s="250">
        <v>0</v>
      </c>
      <c r="L30" s="250">
        <v>0</v>
      </c>
      <c r="M30" s="250">
        <f>0</f>
        <v>0</v>
      </c>
      <c r="N30" s="250">
        <f>0</f>
        <v>0</v>
      </c>
      <c r="O30" s="250">
        <f>0</f>
        <v>0</v>
      </c>
      <c r="P30" s="250">
        <f>0</f>
        <v>0</v>
      </c>
      <c r="Q30" s="40">
        <f>SUM(B30:P30)</f>
        <v>0</v>
      </c>
    </row>
    <row r="31" spans="1:17" s="38" customFormat="1" ht="19.5" customHeight="1">
      <c r="A31" s="259"/>
      <c r="B31" s="260"/>
      <c r="C31" s="260"/>
      <c r="D31" s="598" t="s">
        <v>7</v>
      </c>
      <c r="E31" s="598"/>
      <c r="F31" s="598"/>
      <c r="G31" s="598"/>
      <c r="H31" s="87"/>
      <c r="I31" s="87"/>
      <c r="J31" s="87"/>
      <c r="K31" s="598" t="s">
        <v>97</v>
      </c>
      <c r="L31" s="598"/>
      <c r="M31" s="598"/>
      <c r="N31" s="260"/>
      <c r="O31" s="260"/>
      <c r="P31" s="260"/>
      <c r="Q31" s="261"/>
    </row>
    <row r="32" spans="1:17" s="38" customFormat="1" ht="19.5" customHeight="1">
      <c r="A32" s="56"/>
      <c r="B32" s="54"/>
      <c r="C32" s="54"/>
      <c r="D32" s="111"/>
      <c r="E32" s="111"/>
      <c r="F32" s="111"/>
      <c r="G32" s="111"/>
      <c r="H32" s="87"/>
      <c r="I32" s="87"/>
      <c r="J32" s="87"/>
      <c r="K32" s="111"/>
      <c r="L32" s="111"/>
      <c r="M32" s="111"/>
      <c r="N32" s="54"/>
      <c r="O32" s="54"/>
      <c r="P32" s="54"/>
      <c r="Q32" s="55"/>
    </row>
    <row r="33" spans="1:17" s="38" customFormat="1" ht="19.5" customHeight="1">
      <c r="A33" s="259"/>
      <c r="B33" s="260"/>
      <c r="C33" s="260"/>
      <c r="D33" s="592" t="s">
        <v>116</v>
      </c>
      <c r="E33" s="592"/>
      <c r="F33" s="592"/>
      <c r="G33" s="592"/>
      <c r="H33" s="87"/>
      <c r="I33" s="87"/>
      <c r="J33" s="87"/>
      <c r="K33" s="592" t="s">
        <v>98</v>
      </c>
      <c r="L33" s="592"/>
      <c r="M33" s="592"/>
      <c r="N33" s="260"/>
      <c r="O33" s="260"/>
      <c r="P33" s="260"/>
      <c r="Q33" s="261"/>
    </row>
    <row r="34" spans="1:17" s="38" customFormat="1" ht="19.5" customHeight="1">
      <c r="A34" s="259"/>
      <c r="B34" s="260"/>
      <c r="C34" s="260"/>
      <c r="D34" s="592" t="s">
        <v>107</v>
      </c>
      <c r="E34" s="592"/>
      <c r="F34" s="592"/>
      <c r="G34" s="592"/>
      <c r="H34" s="87"/>
      <c r="I34" s="87"/>
      <c r="J34" s="87"/>
      <c r="K34" s="592" t="s">
        <v>252</v>
      </c>
      <c r="L34" s="592"/>
      <c r="M34" s="592"/>
      <c r="N34" s="260"/>
      <c r="O34" s="260"/>
      <c r="P34" s="260"/>
      <c r="Q34" s="261"/>
    </row>
    <row r="35" spans="1:17" s="38" customFormat="1" ht="19.5" customHeight="1">
      <c r="A35" s="259"/>
      <c r="B35" s="260"/>
      <c r="C35" s="260"/>
      <c r="D35" s="111"/>
      <c r="E35" s="111"/>
      <c r="F35" s="111"/>
      <c r="G35" s="111"/>
      <c r="H35" s="87"/>
      <c r="I35" s="87"/>
      <c r="J35" s="87"/>
      <c r="K35" s="592" t="s">
        <v>96</v>
      </c>
      <c r="L35" s="592"/>
      <c r="M35" s="592"/>
      <c r="N35" s="260"/>
      <c r="O35" s="260"/>
      <c r="P35" s="260"/>
      <c r="Q35" s="261"/>
    </row>
    <row r="36" spans="1:17" ht="19.5" customHeight="1" thickBot="1">
      <c r="A36" s="594" t="s">
        <v>19</v>
      </c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</row>
    <row r="37" spans="1:17" s="341" customFormat="1" ht="19.5" customHeight="1">
      <c r="A37" s="336" t="s">
        <v>14</v>
      </c>
      <c r="B37" s="337" t="s">
        <v>76</v>
      </c>
      <c r="C37" s="595" t="s">
        <v>78</v>
      </c>
      <c r="D37" s="596"/>
      <c r="E37" s="595" t="s">
        <v>81</v>
      </c>
      <c r="F37" s="596"/>
      <c r="G37" s="595" t="s">
        <v>82</v>
      </c>
      <c r="H37" s="596"/>
      <c r="I37" s="595" t="s">
        <v>83</v>
      </c>
      <c r="J37" s="597"/>
      <c r="K37" s="595" t="s">
        <v>87</v>
      </c>
      <c r="L37" s="596"/>
      <c r="M37" s="337" t="s">
        <v>88</v>
      </c>
      <c r="N37" s="338" t="s">
        <v>91</v>
      </c>
      <c r="O37" s="339" t="s">
        <v>92</v>
      </c>
      <c r="P37" s="339" t="s">
        <v>95</v>
      </c>
      <c r="Q37" s="340" t="s">
        <v>15</v>
      </c>
    </row>
    <row r="38" spans="1:17" s="341" customFormat="1" ht="19.5" customHeight="1" thickBot="1">
      <c r="A38" s="342" t="s">
        <v>16</v>
      </c>
      <c r="B38" s="343" t="s">
        <v>77</v>
      </c>
      <c r="C38" s="344" t="s">
        <v>79</v>
      </c>
      <c r="D38" s="345" t="s">
        <v>80</v>
      </c>
      <c r="E38" s="343" t="s">
        <v>72</v>
      </c>
      <c r="F38" s="343" t="s">
        <v>73</v>
      </c>
      <c r="G38" s="343" t="s">
        <v>74</v>
      </c>
      <c r="H38" s="343" t="s">
        <v>75</v>
      </c>
      <c r="I38" s="345" t="s">
        <v>84</v>
      </c>
      <c r="J38" s="346" t="s">
        <v>85</v>
      </c>
      <c r="K38" s="344" t="s">
        <v>106</v>
      </c>
      <c r="L38" s="344" t="s">
        <v>105</v>
      </c>
      <c r="M38" s="344" t="s">
        <v>89</v>
      </c>
      <c r="N38" s="347" t="s">
        <v>90</v>
      </c>
      <c r="O38" s="348" t="s">
        <v>93</v>
      </c>
      <c r="P38" s="348" t="s">
        <v>94</v>
      </c>
      <c r="Q38" s="349"/>
    </row>
    <row r="39" spans="1:17" ht="19.5" customHeight="1">
      <c r="A39" s="251" t="s">
        <v>232</v>
      </c>
      <c r="B39" s="39"/>
      <c r="C39" s="246"/>
      <c r="D39" s="247"/>
      <c r="E39" s="39"/>
      <c r="F39" s="39"/>
      <c r="G39" s="39"/>
      <c r="H39" s="39"/>
      <c r="I39" s="39"/>
      <c r="J39" s="39"/>
      <c r="K39" s="247"/>
      <c r="L39" s="247"/>
      <c r="M39" s="39"/>
      <c r="N39" s="246"/>
      <c r="O39" s="39"/>
      <c r="P39" s="39"/>
      <c r="Q39" s="39"/>
    </row>
    <row r="40" spans="1:17" ht="19.5" customHeight="1">
      <c r="A40" s="248">
        <v>340100</v>
      </c>
      <c r="B40" s="246">
        <v>0</v>
      </c>
      <c r="C40" s="246">
        <v>0</v>
      </c>
      <c r="D40" s="246">
        <v>0</v>
      </c>
      <c r="E40" s="246">
        <v>0</v>
      </c>
      <c r="F40" s="246">
        <v>0</v>
      </c>
      <c r="G40" s="246">
        <v>0</v>
      </c>
      <c r="H40" s="246">
        <v>0</v>
      </c>
      <c r="I40" s="246">
        <v>0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39">
        <f>SUM(B40:P40)</f>
        <v>0</v>
      </c>
    </row>
    <row r="41" spans="1:17" ht="19.5" customHeight="1">
      <c r="A41" s="248" t="s">
        <v>17</v>
      </c>
      <c r="B41" s="39">
        <f aca="true" t="shared" si="6" ref="B41:K41">SUM(B40:B40)</f>
        <v>0</v>
      </c>
      <c r="C41" s="39">
        <f t="shared" si="6"/>
        <v>0</v>
      </c>
      <c r="D41" s="39">
        <f t="shared" si="6"/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v>0</v>
      </c>
      <c r="M41" s="39">
        <f>SUM(M40:M40)</f>
        <v>0</v>
      </c>
      <c r="N41" s="39">
        <f>SUM(N40:N40)</f>
        <v>0</v>
      </c>
      <c r="O41" s="39">
        <f>SUM(O40:O40)</f>
        <v>0</v>
      </c>
      <c r="P41" s="39">
        <f>SUM(P40:P40)</f>
        <v>0</v>
      </c>
      <c r="Q41" s="39">
        <f>SUM(B41:P41)</f>
        <v>0</v>
      </c>
    </row>
    <row r="42" spans="1:17" s="38" customFormat="1" ht="19.5" customHeight="1">
      <c r="A42" s="249" t="s">
        <v>18</v>
      </c>
      <c r="B42" s="250">
        <f>0</f>
        <v>0</v>
      </c>
      <c r="C42" s="250">
        <v>0</v>
      </c>
      <c r="D42" s="250">
        <f>0</f>
        <v>0</v>
      </c>
      <c r="E42" s="250">
        <f>0</f>
        <v>0</v>
      </c>
      <c r="F42" s="250">
        <f>0</f>
        <v>0</v>
      </c>
      <c r="G42" s="250">
        <f>0</f>
        <v>0</v>
      </c>
      <c r="H42" s="250">
        <f>0</f>
        <v>0</v>
      </c>
      <c r="I42" s="250">
        <f>0</f>
        <v>0</v>
      </c>
      <c r="J42" s="250">
        <f>0</f>
        <v>0</v>
      </c>
      <c r="K42" s="250">
        <f>0</f>
        <v>0</v>
      </c>
      <c r="L42" s="250">
        <v>0</v>
      </c>
      <c r="M42" s="250">
        <v>0</v>
      </c>
      <c r="N42" s="250">
        <f>0</f>
        <v>0</v>
      </c>
      <c r="O42" s="250">
        <f>0</f>
        <v>0</v>
      </c>
      <c r="P42" s="250">
        <f>0</f>
        <v>0</v>
      </c>
      <c r="Q42" s="40">
        <f>SUM(B42:P42)</f>
        <v>0</v>
      </c>
    </row>
    <row r="43" spans="1:17" ht="19.5" customHeight="1">
      <c r="A43" s="251" t="s">
        <v>224</v>
      </c>
      <c r="B43" s="39"/>
      <c r="C43" s="246"/>
      <c r="D43" s="247"/>
      <c r="E43" s="39"/>
      <c r="F43" s="39"/>
      <c r="G43" s="39"/>
      <c r="H43" s="39"/>
      <c r="I43" s="39"/>
      <c r="J43" s="39"/>
      <c r="K43" s="247"/>
      <c r="L43" s="247"/>
      <c r="M43" s="39"/>
      <c r="N43" s="246"/>
      <c r="O43" s="39"/>
      <c r="P43" s="39"/>
      <c r="Q43" s="39"/>
    </row>
    <row r="44" spans="1:17" ht="19.5" customHeight="1">
      <c r="A44" s="248">
        <v>410100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39">
        <f>SUM(B44:P44)</f>
        <v>0</v>
      </c>
    </row>
    <row r="45" spans="1:17" ht="19.5" customHeight="1">
      <c r="A45" s="248" t="s">
        <v>17</v>
      </c>
      <c r="B45" s="39">
        <f aca="true" t="shared" si="7" ref="B45:P45">SUM(B44)</f>
        <v>0</v>
      </c>
      <c r="C45" s="39">
        <f t="shared" si="7"/>
        <v>0</v>
      </c>
      <c r="D45" s="39">
        <f t="shared" si="7"/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>SUM(B45:P45)</f>
        <v>0</v>
      </c>
    </row>
    <row r="46" spans="1:17" s="38" customFormat="1" ht="19.5" customHeight="1">
      <c r="A46" s="249" t="s">
        <v>18</v>
      </c>
      <c r="B46" s="250">
        <f>0</f>
        <v>0</v>
      </c>
      <c r="C46" s="250">
        <v>0</v>
      </c>
      <c r="D46" s="250">
        <f>0</f>
        <v>0</v>
      </c>
      <c r="E46" s="250">
        <f>0</f>
        <v>0</v>
      </c>
      <c r="F46" s="250">
        <f>0</f>
        <v>0</v>
      </c>
      <c r="G46" s="250">
        <f>0</f>
        <v>0</v>
      </c>
      <c r="H46" s="250">
        <f>0</f>
        <v>0</v>
      </c>
      <c r="I46" s="250">
        <v>0</v>
      </c>
      <c r="J46" s="250">
        <v>0</v>
      </c>
      <c r="K46" s="250">
        <f>0</f>
        <v>0</v>
      </c>
      <c r="L46" s="250">
        <v>0</v>
      </c>
      <c r="M46" s="250">
        <f>0</f>
        <v>0</v>
      </c>
      <c r="N46" s="250">
        <f>0</f>
        <v>0</v>
      </c>
      <c r="O46" s="250">
        <f>0</f>
        <v>0</v>
      </c>
      <c r="P46" s="250">
        <f>0</f>
        <v>0</v>
      </c>
      <c r="Q46" s="40">
        <f>SUM(B46:P46)</f>
        <v>0</v>
      </c>
    </row>
    <row r="47" spans="1:17" ht="19.5" customHeight="1">
      <c r="A47" s="251" t="s">
        <v>225</v>
      </c>
      <c r="B47" s="39"/>
      <c r="C47" s="246"/>
      <c r="D47" s="247"/>
      <c r="E47" s="39"/>
      <c r="F47" s="39"/>
      <c r="G47" s="39"/>
      <c r="H47" s="39"/>
      <c r="I47" s="39"/>
      <c r="J47" s="39"/>
      <c r="K47" s="247"/>
      <c r="L47" s="247"/>
      <c r="M47" s="39"/>
      <c r="N47" s="246"/>
      <c r="O47" s="39"/>
      <c r="P47" s="39"/>
      <c r="Q47" s="39"/>
    </row>
    <row r="48" spans="1:17" ht="19.5" customHeight="1">
      <c r="A48" s="262">
        <v>420900</v>
      </c>
      <c r="B48" s="39"/>
      <c r="C48" s="246">
        <v>0</v>
      </c>
      <c r="D48" s="247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247">
        <v>0</v>
      </c>
      <c r="L48" s="247">
        <v>0</v>
      </c>
      <c r="M48" s="39">
        <v>0</v>
      </c>
      <c r="N48" s="246">
        <v>0</v>
      </c>
      <c r="O48" s="39">
        <v>0</v>
      </c>
      <c r="P48" s="39">
        <v>0</v>
      </c>
      <c r="Q48" s="39">
        <f>SUM(B48:P48)</f>
        <v>0</v>
      </c>
    </row>
    <row r="49" spans="1:17" ht="19.5" customHeight="1">
      <c r="A49" s="248" t="s">
        <v>17</v>
      </c>
      <c r="B49" s="39">
        <f aca="true" t="shared" si="8" ref="B49:P49">SUM(B48:B48)</f>
        <v>0</v>
      </c>
      <c r="C49" s="39">
        <f t="shared" si="8"/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>SUM(B49:P49)</f>
        <v>0</v>
      </c>
    </row>
    <row r="50" spans="1:17" s="38" customFormat="1" ht="19.5" customHeight="1">
      <c r="A50" s="249" t="s">
        <v>18</v>
      </c>
      <c r="B50" s="250">
        <f>0</f>
        <v>0</v>
      </c>
      <c r="C50" s="250">
        <v>0</v>
      </c>
      <c r="D50" s="250">
        <v>0</v>
      </c>
      <c r="E50" s="250">
        <f>0</f>
        <v>0</v>
      </c>
      <c r="F50" s="250">
        <f>0</f>
        <v>0</v>
      </c>
      <c r="G50" s="250">
        <f>0</f>
        <v>0</v>
      </c>
      <c r="H50" s="250">
        <f>0</f>
        <v>0</v>
      </c>
      <c r="I50" s="250">
        <f>0</f>
        <v>0</v>
      </c>
      <c r="J50" s="250">
        <f>0</f>
        <v>0</v>
      </c>
      <c r="K50" s="250">
        <f>0</f>
        <v>0</v>
      </c>
      <c r="L50" s="250">
        <v>0</v>
      </c>
      <c r="M50" s="250">
        <f>0</f>
        <v>0</v>
      </c>
      <c r="N50" s="250">
        <f>0</f>
        <v>0</v>
      </c>
      <c r="O50" s="250">
        <f>0</f>
        <v>0</v>
      </c>
      <c r="P50" s="250">
        <f>0</f>
        <v>0</v>
      </c>
      <c r="Q50" s="40">
        <f>SUM(B50:P50)</f>
        <v>0</v>
      </c>
    </row>
    <row r="51" spans="1:17" ht="19.5" customHeight="1">
      <c r="A51" s="251" t="s">
        <v>227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39"/>
    </row>
    <row r="52" spans="1:17" ht="19.5" customHeight="1">
      <c r="A52" s="248">
        <v>510100</v>
      </c>
      <c r="B52" s="246">
        <v>0</v>
      </c>
      <c r="C52" s="246">
        <v>0</v>
      </c>
      <c r="D52" s="246">
        <v>0</v>
      </c>
      <c r="E52" s="246">
        <v>0</v>
      </c>
      <c r="F52" s="246">
        <v>0</v>
      </c>
      <c r="G52" s="246">
        <v>0</v>
      </c>
      <c r="H52" s="246">
        <v>0</v>
      </c>
      <c r="I52" s="246">
        <v>0</v>
      </c>
      <c r="J52" s="246">
        <v>0</v>
      </c>
      <c r="K52" s="246">
        <v>0</v>
      </c>
      <c r="L52" s="246">
        <v>0</v>
      </c>
      <c r="M52" s="246">
        <v>0</v>
      </c>
      <c r="N52" s="246">
        <v>0</v>
      </c>
      <c r="O52" s="246">
        <v>0</v>
      </c>
      <c r="P52" s="246">
        <v>0</v>
      </c>
      <c r="Q52" s="39">
        <f>SUM(B52:P52)</f>
        <v>0</v>
      </c>
    </row>
    <row r="53" spans="1:17" ht="19.5" customHeight="1">
      <c r="A53" s="248" t="s">
        <v>17</v>
      </c>
      <c r="B53" s="246">
        <f aca="true" t="shared" si="9" ref="B53:P53">SUM(B52)</f>
        <v>0</v>
      </c>
      <c r="C53" s="246">
        <f t="shared" si="9"/>
        <v>0</v>
      </c>
      <c r="D53" s="246">
        <f t="shared" si="9"/>
        <v>0</v>
      </c>
      <c r="E53" s="246">
        <f t="shared" si="9"/>
        <v>0</v>
      </c>
      <c r="F53" s="246">
        <f t="shared" si="9"/>
        <v>0</v>
      </c>
      <c r="G53" s="246">
        <f t="shared" si="9"/>
        <v>0</v>
      </c>
      <c r="H53" s="246">
        <f t="shared" si="9"/>
        <v>0</v>
      </c>
      <c r="I53" s="246">
        <f t="shared" si="9"/>
        <v>0</v>
      </c>
      <c r="J53" s="246">
        <f t="shared" si="9"/>
        <v>0</v>
      </c>
      <c r="K53" s="246">
        <f t="shared" si="9"/>
        <v>0</v>
      </c>
      <c r="L53" s="246">
        <f t="shared" si="9"/>
        <v>0</v>
      </c>
      <c r="M53" s="246">
        <f t="shared" si="9"/>
        <v>0</v>
      </c>
      <c r="N53" s="246">
        <f t="shared" si="9"/>
        <v>0</v>
      </c>
      <c r="O53" s="246">
        <f t="shared" si="9"/>
        <v>0</v>
      </c>
      <c r="P53" s="246">
        <f t="shared" si="9"/>
        <v>0</v>
      </c>
      <c r="Q53" s="39">
        <f>SUM(B53:P53)</f>
        <v>0</v>
      </c>
    </row>
    <row r="54" spans="1:17" s="38" customFormat="1" ht="19.5" customHeight="1">
      <c r="A54" s="249" t="s">
        <v>18</v>
      </c>
      <c r="B54" s="250">
        <f>0</f>
        <v>0</v>
      </c>
      <c r="C54" s="250">
        <f>0</f>
        <v>0</v>
      </c>
      <c r="D54" s="250">
        <f>0</f>
        <v>0</v>
      </c>
      <c r="E54" s="250">
        <f>0</f>
        <v>0</v>
      </c>
      <c r="F54" s="250">
        <v>0</v>
      </c>
      <c r="G54" s="250">
        <f>0</f>
        <v>0</v>
      </c>
      <c r="H54" s="250">
        <f>0</f>
        <v>0</v>
      </c>
      <c r="I54" s="250">
        <f>0</f>
        <v>0</v>
      </c>
      <c r="J54" s="250">
        <v>0</v>
      </c>
      <c r="K54" s="250">
        <f>0</f>
        <v>0</v>
      </c>
      <c r="L54" s="250">
        <v>0</v>
      </c>
      <c r="M54" s="250">
        <f>0</f>
        <v>0</v>
      </c>
      <c r="N54" s="250"/>
      <c r="O54" s="250">
        <f>0</f>
        <v>0</v>
      </c>
      <c r="P54" s="250">
        <f>0</f>
        <v>0</v>
      </c>
      <c r="Q54" s="40">
        <f>SUM(B54:P54)</f>
        <v>0</v>
      </c>
    </row>
    <row r="55" spans="1:17" ht="19.5" customHeight="1">
      <c r="A55" s="251" t="s">
        <v>226</v>
      </c>
      <c r="B55" s="39"/>
      <c r="C55" s="246"/>
      <c r="D55" s="247"/>
      <c r="E55" s="39"/>
      <c r="F55" s="39"/>
      <c r="G55" s="39"/>
      <c r="H55" s="39"/>
      <c r="I55" s="39"/>
      <c r="J55" s="39"/>
      <c r="K55" s="247"/>
      <c r="L55" s="247"/>
      <c r="M55" s="39"/>
      <c r="N55" s="246"/>
      <c r="O55" s="39"/>
      <c r="P55" s="39"/>
      <c r="Q55" s="39"/>
    </row>
    <row r="56" spans="1:17" ht="19.5" customHeight="1">
      <c r="A56" s="248">
        <v>610100</v>
      </c>
      <c r="B56" s="246">
        <v>0</v>
      </c>
      <c r="C56" s="246">
        <v>0</v>
      </c>
      <c r="D56" s="246">
        <v>0</v>
      </c>
      <c r="E56" s="246">
        <v>0</v>
      </c>
      <c r="F56" s="246">
        <v>0</v>
      </c>
      <c r="G56" s="246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46">
        <v>0</v>
      </c>
      <c r="Q56" s="39">
        <f>SUM(B56:P56)</f>
        <v>0</v>
      </c>
    </row>
    <row r="57" spans="1:17" ht="19.5" customHeight="1">
      <c r="A57" s="248" t="s">
        <v>17</v>
      </c>
      <c r="B57" s="39">
        <f aca="true" t="shared" si="10" ref="B57:P57">SUM(B56:B56)</f>
        <v>0</v>
      </c>
      <c r="C57" s="39">
        <f t="shared" si="10"/>
        <v>0</v>
      </c>
      <c r="D57" s="39">
        <f t="shared" si="10"/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>SUM(B57:P57)</f>
        <v>0</v>
      </c>
    </row>
    <row r="58" spans="1:17" s="38" customFormat="1" ht="19.5" customHeight="1">
      <c r="A58" s="249" t="s">
        <v>18</v>
      </c>
      <c r="B58" s="250">
        <f>0</f>
        <v>0</v>
      </c>
      <c r="C58" s="250">
        <v>0</v>
      </c>
      <c r="D58" s="250">
        <f>0</f>
        <v>0</v>
      </c>
      <c r="E58" s="250">
        <f>0</f>
        <v>0</v>
      </c>
      <c r="F58" s="250">
        <f>0</f>
        <v>0</v>
      </c>
      <c r="G58" s="250">
        <f>0</f>
        <v>0</v>
      </c>
      <c r="H58" s="250">
        <f>0</f>
        <v>0</v>
      </c>
      <c r="I58" s="250">
        <f>0</f>
        <v>0</v>
      </c>
      <c r="J58" s="250">
        <f>0</f>
        <v>0</v>
      </c>
      <c r="K58" s="250">
        <f>0</f>
        <v>0</v>
      </c>
      <c r="L58" s="250">
        <v>0</v>
      </c>
      <c r="M58" s="250">
        <f>0</f>
        <v>0</v>
      </c>
      <c r="N58" s="250">
        <f>0</f>
        <v>0</v>
      </c>
      <c r="O58" s="250">
        <v>0</v>
      </c>
      <c r="P58" s="250">
        <f>0</f>
        <v>0</v>
      </c>
      <c r="Q58" s="40">
        <f>SUM(B58:P58)</f>
        <v>0</v>
      </c>
    </row>
    <row r="59" spans="1:17" ht="19.5" customHeight="1">
      <c r="A59" s="248" t="s">
        <v>69</v>
      </c>
      <c r="B59" s="39">
        <f>B8+B12+B16+B20+B25+B29+B41+B45+B49+B53+B57</f>
        <v>48000</v>
      </c>
      <c r="C59" s="39">
        <f aca="true" t="shared" si="11" ref="C59:P59">C8+C12+C16+C20+C25+C29+C41+C45+C49+C53+C57</f>
        <v>0</v>
      </c>
      <c r="D59" s="39">
        <f t="shared" si="11"/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0</v>
      </c>
      <c r="Q59" s="39">
        <f>SUM(B59:P59)</f>
        <v>48000</v>
      </c>
    </row>
    <row r="60" spans="1:17" s="38" customFormat="1" ht="19.5" customHeight="1">
      <c r="A60" s="249" t="s">
        <v>100</v>
      </c>
      <c r="B60" s="40">
        <f>B9+B13+B17+B21+B26+B30+B42+B46+B50+B54+B58</f>
        <v>48000</v>
      </c>
      <c r="C60" s="40">
        <f aca="true" t="shared" si="12" ref="C60:P60">C9+C13+C17+C21+C26+C30+C42+C46+C50+C54+C58</f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>SUM(B60:P60)</f>
        <v>48000</v>
      </c>
    </row>
    <row r="61" spans="1:17" s="38" customFormat="1" ht="19.5" customHeight="1">
      <c r="A61" s="263"/>
      <c r="B61" s="264"/>
      <c r="C61" s="264"/>
      <c r="D61" s="598" t="s">
        <v>7</v>
      </c>
      <c r="E61" s="598"/>
      <c r="F61" s="598"/>
      <c r="G61" s="598"/>
      <c r="H61" s="87"/>
      <c r="I61" s="87"/>
      <c r="J61" s="87"/>
      <c r="K61" s="598" t="s">
        <v>97</v>
      </c>
      <c r="L61" s="598"/>
      <c r="M61" s="598"/>
      <c r="N61" s="264"/>
      <c r="O61" s="264"/>
      <c r="P61" s="264"/>
      <c r="Q61" s="265"/>
    </row>
    <row r="62" spans="1:17" s="38" customFormat="1" ht="19.5" customHeight="1">
      <c r="A62" s="53"/>
      <c r="B62" s="54"/>
      <c r="C62" s="5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54"/>
      <c r="O62" s="54"/>
      <c r="P62" s="54"/>
      <c r="Q62" s="86"/>
    </row>
    <row r="63" spans="1:17" s="88" customFormat="1" ht="19.5" customHeight="1">
      <c r="A63" s="53"/>
      <c r="B63" s="54"/>
      <c r="C63" s="54"/>
      <c r="D63" s="592" t="s">
        <v>114</v>
      </c>
      <c r="E63" s="592"/>
      <c r="F63" s="592"/>
      <c r="G63" s="592"/>
      <c r="H63" s="87"/>
      <c r="I63" s="87"/>
      <c r="J63" s="87"/>
      <c r="K63" s="592" t="s">
        <v>98</v>
      </c>
      <c r="L63" s="592"/>
      <c r="M63" s="592"/>
      <c r="N63" s="54"/>
      <c r="O63" s="54"/>
      <c r="P63" s="54"/>
      <c r="Q63" s="86"/>
    </row>
    <row r="64" spans="1:17" ht="19.5" customHeight="1">
      <c r="A64" s="56"/>
      <c r="B64" s="34"/>
      <c r="C64" s="34"/>
      <c r="D64" s="592" t="s">
        <v>107</v>
      </c>
      <c r="E64" s="592"/>
      <c r="F64" s="592"/>
      <c r="G64" s="592"/>
      <c r="H64" s="87"/>
      <c r="I64" s="87"/>
      <c r="J64" s="87"/>
      <c r="K64" s="592" t="s">
        <v>252</v>
      </c>
      <c r="L64" s="592"/>
      <c r="M64" s="592"/>
      <c r="N64" s="34"/>
      <c r="O64" s="34"/>
      <c r="P64" s="34"/>
      <c r="Q64" s="35"/>
    </row>
    <row r="65" spans="11:13" ht="21.75">
      <c r="K65" s="592" t="s">
        <v>96</v>
      </c>
      <c r="L65" s="592"/>
      <c r="M65" s="592"/>
    </row>
  </sheetData>
  <sheetProtection/>
  <mergeCells count="28">
    <mergeCell ref="G37:H37"/>
    <mergeCell ref="K37:L37"/>
    <mergeCell ref="K33:M33"/>
    <mergeCell ref="D61:G61"/>
    <mergeCell ref="K63:M63"/>
    <mergeCell ref="D63:G63"/>
    <mergeCell ref="K34:M34"/>
    <mergeCell ref="K35:M35"/>
    <mergeCell ref="E4:F4"/>
    <mergeCell ref="D64:G64"/>
    <mergeCell ref="D33:G33"/>
    <mergeCell ref="D34:G34"/>
    <mergeCell ref="D31:G31"/>
    <mergeCell ref="K64:M64"/>
    <mergeCell ref="K61:M61"/>
    <mergeCell ref="E37:F37"/>
    <mergeCell ref="C37:D37"/>
    <mergeCell ref="I37:J37"/>
    <mergeCell ref="K65:M65"/>
    <mergeCell ref="A1:Q1"/>
    <mergeCell ref="A2:Q2"/>
    <mergeCell ref="A3:Q3"/>
    <mergeCell ref="A36:Q36"/>
    <mergeCell ref="G4:H4"/>
    <mergeCell ref="I4:J4"/>
    <mergeCell ref="K31:M31"/>
    <mergeCell ref="K4:L4"/>
    <mergeCell ref="C4:D4"/>
  </mergeCells>
  <printOptions/>
  <pageMargins left="0.248031496" right="0.06496063" top="0" bottom="0" header="0.17" footer="0.17"/>
  <pageSetup horizontalDpi="180" verticalDpi="180" orientation="landscape" paperSize="9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zoomScalePageLayoutView="0" workbookViewId="0" topLeftCell="E46">
      <selection activeCell="O62" sqref="O62"/>
    </sheetView>
  </sheetViews>
  <sheetFormatPr defaultColWidth="9.140625" defaultRowHeight="21.75"/>
  <cols>
    <col min="1" max="1" width="16.8515625" style="127" customWidth="1"/>
    <col min="2" max="3" width="10.28125" style="127" bestFit="1" customWidth="1"/>
    <col min="4" max="4" width="6.00390625" style="127" bestFit="1" customWidth="1"/>
    <col min="5" max="5" width="11.28125" style="127" bestFit="1" customWidth="1"/>
    <col min="6" max="6" width="11.421875" style="127" bestFit="1" customWidth="1"/>
    <col min="7" max="7" width="8.7109375" style="127" customWidth="1"/>
    <col min="8" max="8" width="9.7109375" style="127" customWidth="1"/>
    <col min="9" max="9" width="12.8515625" style="127" bestFit="1" customWidth="1"/>
    <col min="10" max="10" width="13.00390625" style="127" bestFit="1" customWidth="1"/>
    <col min="11" max="11" width="8.00390625" style="127" customWidth="1"/>
    <col min="12" max="12" width="9.28125" style="127" customWidth="1"/>
    <col min="13" max="13" width="9.28125" style="127" bestFit="1" customWidth="1"/>
    <col min="14" max="14" width="11.7109375" style="127" customWidth="1"/>
    <col min="15" max="15" width="10.28125" style="127" bestFit="1" customWidth="1"/>
    <col min="16" max="16" width="12.8515625" style="127" bestFit="1" customWidth="1"/>
    <col min="17" max="16384" width="9.140625" style="127" customWidth="1"/>
  </cols>
  <sheetData>
    <row r="1" spans="1:16" ht="21" customHeight="1">
      <c r="A1" s="582" t="s">
        <v>12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23.25" customHeight="1">
      <c r="A2" s="582" t="s">
        <v>104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</row>
    <row r="3" spans="1:16" ht="21.75" customHeight="1" thickBot="1">
      <c r="A3" s="583" t="s">
        <v>299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1:16" s="222" customFormat="1" ht="21" customHeight="1">
      <c r="A4" s="41" t="s">
        <v>14</v>
      </c>
      <c r="B4" s="599" t="s">
        <v>78</v>
      </c>
      <c r="C4" s="600"/>
      <c r="D4" s="599" t="s">
        <v>81</v>
      </c>
      <c r="E4" s="600"/>
      <c r="F4" s="42" t="s">
        <v>87</v>
      </c>
      <c r="G4" s="42" t="s">
        <v>88</v>
      </c>
      <c r="H4" s="43" t="s">
        <v>91</v>
      </c>
      <c r="I4" s="599" t="s">
        <v>82</v>
      </c>
      <c r="J4" s="600"/>
      <c r="K4" s="44" t="s">
        <v>92</v>
      </c>
      <c r="L4" s="599" t="s">
        <v>83</v>
      </c>
      <c r="M4" s="601"/>
      <c r="N4" s="44" t="s">
        <v>95</v>
      </c>
      <c r="O4" s="42" t="s">
        <v>76</v>
      </c>
      <c r="P4" s="51" t="s">
        <v>15</v>
      </c>
    </row>
    <row r="5" spans="1:16" s="222" customFormat="1" ht="21" customHeight="1" thickBot="1">
      <c r="A5" s="45" t="s">
        <v>16</v>
      </c>
      <c r="B5" s="47" t="s">
        <v>79</v>
      </c>
      <c r="C5" s="48" t="s">
        <v>80</v>
      </c>
      <c r="D5" s="46" t="s">
        <v>72</v>
      </c>
      <c r="E5" s="46" t="s">
        <v>73</v>
      </c>
      <c r="F5" s="47" t="s">
        <v>106</v>
      </c>
      <c r="G5" s="47" t="s">
        <v>89</v>
      </c>
      <c r="H5" s="49" t="s">
        <v>90</v>
      </c>
      <c r="I5" s="46" t="s">
        <v>74</v>
      </c>
      <c r="J5" s="46" t="s">
        <v>75</v>
      </c>
      <c r="K5" s="50" t="s">
        <v>93</v>
      </c>
      <c r="L5" s="48" t="s">
        <v>84</v>
      </c>
      <c r="M5" s="37" t="s">
        <v>85</v>
      </c>
      <c r="N5" s="50" t="s">
        <v>94</v>
      </c>
      <c r="O5" s="46" t="s">
        <v>77</v>
      </c>
      <c r="P5" s="217"/>
    </row>
    <row r="6" spans="1:16" ht="21" customHeight="1">
      <c r="A6" s="52" t="s">
        <v>199</v>
      </c>
      <c r="B6" s="25"/>
      <c r="C6" s="26"/>
      <c r="D6" s="25"/>
      <c r="E6" s="25"/>
      <c r="F6" s="26"/>
      <c r="G6" s="26"/>
      <c r="H6" s="27"/>
      <c r="I6" s="25"/>
      <c r="J6" s="25"/>
      <c r="K6" s="209"/>
      <c r="L6" s="25"/>
      <c r="M6" s="27"/>
      <c r="N6" s="209"/>
      <c r="O6" s="25"/>
      <c r="P6" s="209"/>
    </row>
    <row r="7" spans="1:16" ht="21" customHeight="1">
      <c r="A7" s="210" t="s">
        <v>237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94000</v>
      </c>
      <c r="P7" s="211">
        <f>SUM(B7:O7)</f>
        <v>94000</v>
      </c>
    </row>
    <row r="8" spans="1:16" ht="21" customHeight="1">
      <c r="A8" s="19" t="s">
        <v>17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94000</v>
      </c>
      <c r="P8" s="211">
        <f>SUM(B8:O8)</f>
        <v>94000</v>
      </c>
    </row>
    <row r="9" spans="1:16" ht="21" customHeight="1">
      <c r="A9" s="19" t="s">
        <v>18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94000</v>
      </c>
      <c r="P9" s="211">
        <f>SUM(B9:O9)</f>
        <v>94000</v>
      </c>
    </row>
    <row r="10" spans="1:16" ht="21" customHeight="1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11"/>
      <c r="L10" s="29"/>
      <c r="M10" s="29"/>
      <c r="N10" s="211"/>
      <c r="O10" s="28"/>
      <c r="P10" s="211"/>
    </row>
    <row r="11" spans="1:16" ht="21" customHeight="1">
      <c r="A11" s="212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11">
        <f>SUM(B11:O11)</f>
        <v>0</v>
      </c>
    </row>
    <row r="12" spans="1:16" ht="21" customHeight="1">
      <c r="A12" s="19" t="s">
        <v>17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11">
        <f>SUM(B12:O12)</f>
        <v>0</v>
      </c>
    </row>
    <row r="13" spans="1:16" ht="21" customHeight="1">
      <c r="A13" s="19" t="s">
        <v>18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11">
        <f>SUM(B13:O13)</f>
        <v>0</v>
      </c>
    </row>
    <row r="14" spans="1:16" ht="21" customHeight="1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11"/>
      <c r="L14" s="29"/>
      <c r="M14" s="29"/>
      <c r="N14" s="211"/>
      <c r="O14" s="28"/>
      <c r="P14" s="211"/>
    </row>
    <row r="15" spans="1:16" ht="21" customHeight="1">
      <c r="A15" s="212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11">
        <f>SUM(B15:O15)</f>
        <v>0</v>
      </c>
    </row>
    <row r="16" spans="1:16" ht="21" customHeight="1">
      <c r="A16" s="19" t="s">
        <v>17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11">
        <f>SUM(B16:O16)</f>
        <v>0</v>
      </c>
    </row>
    <row r="17" spans="1:16" ht="21" customHeight="1">
      <c r="A17" s="19" t="s">
        <v>18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218">
        <f>0</f>
        <v>0</v>
      </c>
      <c r="N17" s="28">
        <f>0</f>
        <v>0</v>
      </c>
      <c r="O17" s="28">
        <f>0</f>
        <v>0</v>
      </c>
      <c r="P17" s="211">
        <f>SUM(B17:O17)</f>
        <v>0</v>
      </c>
    </row>
    <row r="18" spans="1:16" ht="21" customHeight="1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11"/>
      <c r="L18" s="25"/>
      <c r="M18" s="29"/>
      <c r="N18" s="211"/>
      <c r="O18" s="32"/>
      <c r="P18" s="211"/>
    </row>
    <row r="19" spans="1:16" ht="21" customHeight="1">
      <c r="A19" s="212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11">
        <f>SUM(B19:O19)</f>
        <v>0</v>
      </c>
    </row>
    <row r="20" spans="1:16" ht="21" customHeight="1">
      <c r="A20" s="19" t="s">
        <v>17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11">
        <f>SUM(B20:O20)</f>
        <v>0</v>
      </c>
    </row>
    <row r="21" spans="1:16" ht="21" customHeight="1">
      <c r="A21" s="19" t="s">
        <v>18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11">
        <f>SUM(B21:O21)</f>
        <v>0</v>
      </c>
    </row>
    <row r="22" spans="1:16" ht="21" customHeight="1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11"/>
      <c r="L22" s="29"/>
      <c r="M22" s="29"/>
      <c r="N22" s="211"/>
      <c r="O22" s="28"/>
      <c r="P22" s="211"/>
    </row>
    <row r="23" spans="1:16" ht="21" customHeight="1">
      <c r="A23" s="212">
        <v>320300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11">
        <f>SUM(B23:O23)</f>
        <v>0</v>
      </c>
    </row>
    <row r="24" spans="1:16" ht="21" customHeight="1">
      <c r="A24" s="19" t="s">
        <v>17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11">
        <f>SUM(B24:O24)</f>
        <v>0</v>
      </c>
    </row>
    <row r="25" spans="1:16" ht="21" customHeight="1">
      <c r="A25" s="223" t="s">
        <v>18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11">
        <f>SUM(B25:O25)</f>
        <v>0</v>
      </c>
    </row>
    <row r="26" spans="1:16" ht="21" customHeight="1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11"/>
      <c r="L26" s="36"/>
      <c r="M26" s="32"/>
      <c r="N26" s="211"/>
      <c r="O26" s="32"/>
      <c r="P26" s="211"/>
    </row>
    <row r="27" spans="1:16" s="492" customFormat="1" ht="21" customHeight="1">
      <c r="A27" s="248">
        <v>331700</v>
      </c>
      <c r="B27" s="246">
        <v>0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39">
        <f>SUM(B27:O27)</f>
        <v>0</v>
      </c>
    </row>
    <row r="28" spans="1:16" s="492" customFormat="1" ht="21" customHeight="1">
      <c r="A28" s="493" t="s">
        <v>17</v>
      </c>
      <c r="B28" s="246">
        <f aca="true" t="shared" si="5" ref="B28:N28">SUM(B27)</f>
        <v>0</v>
      </c>
      <c r="C28" s="246">
        <f t="shared" si="5"/>
        <v>0</v>
      </c>
      <c r="D28" s="246">
        <f t="shared" si="5"/>
        <v>0</v>
      </c>
      <c r="E28" s="246">
        <f t="shared" si="5"/>
        <v>0</v>
      </c>
      <c r="F28" s="246">
        <f t="shared" si="5"/>
        <v>0</v>
      </c>
      <c r="G28" s="246">
        <f t="shared" si="5"/>
        <v>0</v>
      </c>
      <c r="H28" s="246">
        <f t="shared" si="5"/>
        <v>0</v>
      </c>
      <c r="I28" s="246">
        <f t="shared" si="5"/>
        <v>0</v>
      </c>
      <c r="J28" s="246">
        <f t="shared" si="5"/>
        <v>0</v>
      </c>
      <c r="K28" s="246">
        <f t="shared" si="5"/>
        <v>0</v>
      </c>
      <c r="L28" s="246">
        <f t="shared" si="5"/>
        <v>0</v>
      </c>
      <c r="M28" s="246">
        <f t="shared" si="5"/>
        <v>0</v>
      </c>
      <c r="N28" s="246">
        <f t="shared" si="5"/>
        <v>0</v>
      </c>
      <c r="O28" s="246">
        <f>SUM(O27)</f>
        <v>0</v>
      </c>
      <c r="P28" s="39">
        <f>SUM(B28:O28)</f>
        <v>0</v>
      </c>
    </row>
    <row r="29" spans="1:16" ht="21" customHeight="1">
      <c r="A29" s="19" t="s">
        <v>18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v>70773.8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11">
        <f>SUM(B29:O29)</f>
        <v>70773.8</v>
      </c>
    </row>
    <row r="30" spans="1:16" ht="21" customHeight="1">
      <c r="A30" s="162"/>
      <c r="B30" s="34"/>
      <c r="C30" s="34"/>
      <c r="D30" s="34"/>
      <c r="E30" s="602" t="s">
        <v>7</v>
      </c>
      <c r="F30" s="602"/>
      <c r="G30" s="602"/>
      <c r="H30" s="226"/>
      <c r="I30" s="226"/>
      <c r="J30" s="602" t="s">
        <v>97</v>
      </c>
      <c r="K30" s="602"/>
      <c r="L30" s="602"/>
      <c r="M30" s="215"/>
      <c r="N30" s="220"/>
      <c r="O30" s="34"/>
      <c r="P30" s="216"/>
    </row>
    <row r="31" spans="1:16" ht="21" customHeight="1">
      <c r="A31" s="213"/>
      <c r="B31" s="34"/>
      <c r="C31" s="34"/>
      <c r="D31" s="3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34"/>
      <c r="P31" s="216"/>
    </row>
    <row r="32" spans="1:16" ht="21" customHeight="1">
      <c r="A32" s="213"/>
      <c r="B32" s="34"/>
      <c r="C32" s="34"/>
      <c r="D32" s="34"/>
      <c r="E32" s="603" t="s">
        <v>114</v>
      </c>
      <c r="F32" s="603"/>
      <c r="G32" s="603"/>
      <c r="H32" s="227"/>
      <c r="I32" s="227"/>
      <c r="J32" s="603" t="s">
        <v>269</v>
      </c>
      <c r="K32" s="603"/>
      <c r="L32" s="603"/>
      <c r="M32" s="215"/>
      <c r="N32" s="214"/>
      <c r="O32" s="34"/>
      <c r="P32" s="216"/>
    </row>
    <row r="33" spans="1:16" ht="21" customHeight="1">
      <c r="A33" s="213"/>
      <c r="B33" s="34"/>
      <c r="C33" s="34"/>
      <c r="D33" s="34"/>
      <c r="E33" s="603" t="s">
        <v>281</v>
      </c>
      <c r="F33" s="603"/>
      <c r="G33" s="603"/>
      <c r="H33" s="227"/>
      <c r="I33" s="227"/>
      <c r="J33" s="603" t="s">
        <v>96</v>
      </c>
      <c r="K33" s="603"/>
      <c r="L33" s="603"/>
      <c r="M33" s="215"/>
      <c r="N33" s="214"/>
      <c r="O33" s="34"/>
      <c r="P33" s="216"/>
    </row>
    <row r="34" spans="1:16" ht="21" customHeight="1">
      <c r="A34" s="213"/>
      <c r="B34" s="34"/>
      <c r="C34" s="34"/>
      <c r="D34" s="34"/>
      <c r="E34" s="214"/>
      <c r="F34" s="214"/>
      <c r="G34" s="214"/>
      <c r="H34" s="227"/>
      <c r="I34" s="227"/>
      <c r="J34" s="603"/>
      <c r="K34" s="603"/>
      <c r="L34" s="603"/>
      <c r="M34" s="215"/>
      <c r="N34" s="214"/>
      <c r="O34" s="34"/>
      <c r="P34" s="216"/>
    </row>
    <row r="35" spans="1:16" ht="21" customHeight="1" thickBot="1">
      <c r="A35" s="604" t="s">
        <v>71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16" s="222" customFormat="1" ht="21" customHeight="1">
      <c r="A36" s="41" t="s">
        <v>14</v>
      </c>
      <c r="B36" s="599" t="s">
        <v>78</v>
      </c>
      <c r="C36" s="600"/>
      <c r="D36" s="599" t="s">
        <v>81</v>
      </c>
      <c r="E36" s="600"/>
      <c r="F36" s="42" t="s">
        <v>87</v>
      </c>
      <c r="G36" s="42" t="s">
        <v>88</v>
      </c>
      <c r="H36" s="43" t="s">
        <v>91</v>
      </c>
      <c r="I36" s="599" t="s">
        <v>82</v>
      </c>
      <c r="J36" s="600"/>
      <c r="K36" s="44" t="s">
        <v>92</v>
      </c>
      <c r="L36" s="599" t="s">
        <v>83</v>
      </c>
      <c r="M36" s="601"/>
      <c r="N36" s="44" t="s">
        <v>95</v>
      </c>
      <c r="O36" s="42" t="s">
        <v>76</v>
      </c>
      <c r="P36" s="51" t="s">
        <v>15</v>
      </c>
    </row>
    <row r="37" spans="1:16" s="222" customFormat="1" ht="21" customHeight="1" thickBot="1">
      <c r="A37" s="45" t="s">
        <v>16</v>
      </c>
      <c r="B37" s="47" t="s">
        <v>79</v>
      </c>
      <c r="C37" s="48" t="s">
        <v>80</v>
      </c>
      <c r="D37" s="46" t="s">
        <v>72</v>
      </c>
      <c r="E37" s="46" t="s">
        <v>73</v>
      </c>
      <c r="F37" s="47" t="s">
        <v>86</v>
      </c>
      <c r="G37" s="47" t="s">
        <v>89</v>
      </c>
      <c r="H37" s="49" t="s">
        <v>90</v>
      </c>
      <c r="I37" s="46" t="s">
        <v>74</v>
      </c>
      <c r="J37" s="46" t="s">
        <v>75</v>
      </c>
      <c r="K37" s="50" t="s">
        <v>93</v>
      </c>
      <c r="L37" s="48" t="s">
        <v>84</v>
      </c>
      <c r="M37" s="37" t="s">
        <v>85</v>
      </c>
      <c r="N37" s="50" t="s">
        <v>94</v>
      </c>
      <c r="O37" s="46" t="s">
        <v>77</v>
      </c>
      <c r="P37" s="217"/>
    </row>
    <row r="38" spans="1:16" ht="21" customHeight="1">
      <c r="A38" s="20">
        <v>534000</v>
      </c>
      <c r="B38" s="28"/>
      <c r="C38" s="30"/>
      <c r="D38" s="29"/>
      <c r="E38" s="29"/>
      <c r="F38" s="30"/>
      <c r="G38" s="29"/>
      <c r="H38" s="28"/>
      <c r="I38" s="29"/>
      <c r="J38" s="29"/>
      <c r="K38" s="211"/>
      <c r="L38" s="29"/>
      <c r="M38" s="29"/>
      <c r="N38" s="211"/>
      <c r="O38" s="29"/>
      <c r="P38" s="211"/>
    </row>
    <row r="39" spans="1:16" ht="21" customHeight="1">
      <c r="A39" s="212">
        <v>340100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11">
        <f>SUM(B39:O39)</f>
        <v>0</v>
      </c>
    </row>
    <row r="40" spans="1:16" ht="21" customHeight="1">
      <c r="A40" s="19" t="s">
        <v>17</v>
      </c>
      <c r="B40" s="29">
        <f aca="true" t="shared" si="6" ref="B40:O40">SUM(B39:B39)</f>
        <v>0</v>
      </c>
      <c r="C40" s="29">
        <f t="shared" si="6"/>
        <v>0</v>
      </c>
      <c r="D40" s="29">
        <f t="shared" si="6"/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11">
        <f>SUM(B40:O40)</f>
        <v>0</v>
      </c>
    </row>
    <row r="41" spans="1:16" ht="21" customHeight="1">
      <c r="A41" s="19" t="s">
        <v>18</v>
      </c>
      <c r="B41" s="28">
        <v>0</v>
      </c>
      <c r="C41" s="28">
        <f>0</f>
        <v>0</v>
      </c>
      <c r="D41" s="28">
        <f>0</f>
        <v>0</v>
      </c>
      <c r="E41" s="28">
        <f>0</f>
        <v>0</v>
      </c>
      <c r="F41" s="28">
        <f>0</f>
        <v>0</v>
      </c>
      <c r="G41" s="28">
        <f>0</f>
        <v>0</v>
      </c>
      <c r="H41" s="28">
        <f>0</f>
        <v>0</v>
      </c>
      <c r="I41" s="28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11">
        <f>SUM(B41:O41)</f>
        <v>0</v>
      </c>
    </row>
    <row r="42" spans="1:16" ht="21" customHeight="1">
      <c r="A42" s="20">
        <v>541000</v>
      </c>
      <c r="B42" s="28"/>
      <c r="C42" s="30"/>
      <c r="D42" s="29"/>
      <c r="E42" s="29"/>
      <c r="F42" s="30"/>
      <c r="G42" s="29"/>
      <c r="H42" s="28"/>
      <c r="I42" s="29"/>
      <c r="J42" s="29"/>
      <c r="K42" s="211"/>
      <c r="L42" s="29"/>
      <c r="M42" s="29"/>
      <c r="N42" s="211"/>
      <c r="O42" s="29"/>
      <c r="P42" s="211"/>
    </row>
    <row r="43" spans="1:16" s="492" customFormat="1" ht="21" customHeight="1">
      <c r="A43" s="262">
        <v>410400</v>
      </c>
      <c r="B43" s="246">
        <v>0</v>
      </c>
      <c r="C43" s="246">
        <v>0</v>
      </c>
      <c r="D43" s="246">
        <v>0</v>
      </c>
      <c r="E43" s="246">
        <v>0</v>
      </c>
      <c r="F43" s="246">
        <v>0</v>
      </c>
      <c r="G43" s="246">
        <v>0</v>
      </c>
      <c r="H43" s="246">
        <v>0</v>
      </c>
      <c r="I43" s="246">
        <v>126500</v>
      </c>
      <c r="J43" s="246">
        <v>0</v>
      </c>
      <c r="K43" s="246">
        <v>0</v>
      </c>
      <c r="L43" s="246">
        <v>0</v>
      </c>
      <c r="M43" s="246">
        <v>0</v>
      </c>
      <c r="N43" s="246">
        <v>0</v>
      </c>
      <c r="O43" s="246">
        <v>0</v>
      </c>
      <c r="P43" s="39">
        <f>SUM(B43:O43)</f>
        <v>126500</v>
      </c>
    </row>
    <row r="44" spans="1:16" s="492" customFormat="1" ht="21" customHeight="1">
      <c r="A44" s="493" t="s">
        <v>17</v>
      </c>
      <c r="B44" s="39">
        <f aca="true" t="shared" si="7" ref="B44:O44">SUM(B43)</f>
        <v>0</v>
      </c>
      <c r="C44" s="39">
        <f t="shared" si="7"/>
        <v>0</v>
      </c>
      <c r="D44" s="39">
        <f t="shared" si="7"/>
        <v>0</v>
      </c>
      <c r="E44" s="39">
        <f t="shared" si="7"/>
        <v>0</v>
      </c>
      <c r="F44" s="39">
        <f t="shared" si="7"/>
        <v>0</v>
      </c>
      <c r="G44" s="39">
        <f t="shared" si="7"/>
        <v>0</v>
      </c>
      <c r="H44" s="39">
        <f t="shared" si="7"/>
        <v>0</v>
      </c>
      <c r="I44" s="39">
        <f t="shared" si="7"/>
        <v>126500</v>
      </c>
      <c r="J44" s="39">
        <f t="shared" si="7"/>
        <v>0</v>
      </c>
      <c r="K44" s="39">
        <f t="shared" si="7"/>
        <v>0</v>
      </c>
      <c r="L44" s="39">
        <f t="shared" si="7"/>
        <v>0</v>
      </c>
      <c r="M44" s="39">
        <f t="shared" si="7"/>
        <v>0</v>
      </c>
      <c r="N44" s="39">
        <f t="shared" si="7"/>
        <v>0</v>
      </c>
      <c r="O44" s="39">
        <f t="shared" si="7"/>
        <v>0</v>
      </c>
      <c r="P44" s="39">
        <f>SUM(B44:O44)</f>
        <v>126500</v>
      </c>
    </row>
    <row r="45" spans="1:16" ht="21" customHeight="1">
      <c r="A45" s="19" t="s">
        <v>18</v>
      </c>
      <c r="B45" s="218">
        <v>28000</v>
      </c>
      <c r="C45" s="218">
        <f>0</f>
        <v>0</v>
      </c>
      <c r="D45" s="218">
        <f>0</f>
        <v>0</v>
      </c>
      <c r="E45" s="218">
        <f>0</f>
        <v>0</v>
      </c>
      <c r="F45" s="28">
        <f>0</f>
        <v>0</v>
      </c>
      <c r="G45" s="28">
        <f>0</f>
        <v>0</v>
      </c>
      <c r="H45" s="218">
        <f>0</f>
        <v>0</v>
      </c>
      <c r="I45" s="218">
        <v>126500</v>
      </c>
      <c r="J45" s="218">
        <f>0</f>
        <v>0</v>
      </c>
      <c r="K45" s="218">
        <f>0</f>
        <v>0</v>
      </c>
      <c r="L45" s="218">
        <f>0</f>
        <v>0</v>
      </c>
      <c r="M45" s="28">
        <f>0</f>
        <v>0</v>
      </c>
      <c r="N45" s="218">
        <f>0</f>
        <v>0</v>
      </c>
      <c r="O45" s="218">
        <f>0</f>
        <v>0</v>
      </c>
      <c r="P45" s="211">
        <f>SUM(B45:O45)</f>
        <v>154500</v>
      </c>
    </row>
    <row r="46" spans="1:16" ht="21" customHeight="1">
      <c r="A46" s="20">
        <v>542000</v>
      </c>
      <c r="B46" s="28"/>
      <c r="C46" s="30"/>
      <c r="D46" s="29"/>
      <c r="E46" s="29"/>
      <c r="F46" s="30"/>
      <c r="G46" s="29"/>
      <c r="H46" s="28"/>
      <c r="I46" s="29"/>
      <c r="J46" s="29"/>
      <c r="K46" s="211"/>
      <c r="L46" s="29"/>
      <c r="M46" s="29"/>
      <c r="N46" s="211"/>
      <c r="O46" s="29"/>
      <c r="P46" s="211"/>
    </row>
    <row r="47" spans="1:16" ht="21" customHeight="1">
      <c r="A47" s="248">
        <v>420900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0</v>
      </c>
      <c r="K47" s="211">
        <v>0</v>
      </c>
      <c r="L47" s="29">
        <v>0</v>
      </c>
      <c r="M47" s="29">
        <v>0</v>
      </c>
      <c r="N47" s="211">
        <v>0</v>
      </c>
      <c r="O47" s="29"/>
      <c r="P47" s="211">
        <f>SUM(B47:O47)</f>
        <v>0</v>
      </c>
    </row>
    <row r="48" spans="1:16" ht="21" customHeight="1">
      <c r="A48" s="248">
        <v>421000</v>
      </c>
      <c r="B48" s="28">
        <v>0</v>
      </c>
      <c r="C48" s="30">
        <v>0</v>
      </c>
      <c r="D48" s="29">
        <v>0</v>
      </c>
      <c r="E48" s="29">
        <v>0</v>
      </c>
      <c r="F48" s="30">
        <v>0</v>
      </c>
      <c r="G48" s="29">
        <v>0</v>
      </c>
      <c r="H48" s="28">
        <v>0</v>
      </c>
      <c r="I48" s="29">
        <v>972900</v>
      </c>
      <c r="J48" s="29">
        <v>0</v>
      </c>
      <c r="K48" s="211">
        <v>0</v>
      </c>
      <c r="L48" s="29">
        <v>0</v>
      </c>
      <c r="M48" s="29">
        <v>0</v>
      </c>
      <c r="N48" s="211">
        <v>0</v>
      </c>
      <c r="O48" s="29"/>
      <c r="P48" s="211">
        <f>SUM(B48:O48)</f>
        <v>972900</v>
      </c>
    </row>
    <row r="49" spans="1:16" ht="21" customHeight="1">
      <c r="A49" s="19" t="s">
        <v>17</v>
      </c>
      <c r="B49" s="29">
        <f>SUM(B47:B48)</f>
        <v>0</v>
      </c>
      <c r="C49" s="29">
        <f aca="true" t="shared" si="8" ref="C49:O49">SUM(C47:C48)</f>
        <v>0</v>
      </c>
      <c r="D49" s="29">
        <f t="shared" si="8"/>
        <v>0</v>
      </c>
      <c r="E49" s="29">
        <f t="shared" si="8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972900</v>
      </c>
      <c r="J49" s="29">
        <f t="shared" si="8"/>
        <v>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11">
        <f>SUM(B49:O49)</f>
        <v>972900</v>
      </c>
    </row>
    <row r="50" spans="1:16" ht="21" customHeight="1">
      <c r="A50" s="19" t="s">
        <v>18</v>
      </c>
      <c r="B50" s="28">
        <v>0</v>
      </c>
      <c r="C50" s="28">
        <v>0</v>
      </c>
      <c r="D50" s="28">
        <f>0</f>
        <v>0</v>
      </c>
      <c r="E50" s="28">
        <f>0</f>
        <v>0</v>
      </c>
      <c r="F50" s="28">
        <f>0</f>
        <v>0</v>
      </c>
      <c r="G50" s="28">
        <f>0</f>
        <v>0</v>
      </c>
      <c r="H50" s="28">
        <f>0</f>
        <v>0</v>
      </c>
      <c r="I50" s="28">
        <v>972900</v>
      </c>
      <c r="J50" s="28">
        <v>0</v>
      </c>
      <c r="K50" s="28">
        <f>0</f>
        <v>0</v>
      </c>
      <c r="L50" s="28">
        <f>0</f>
        <v>0</v>
      </c>
      <c r="M50" s="28">
        <f>0</f>
        <v>0</v>
      </c>
      <c r="N50" s="28">
        <v>0</v>
      </c>
      <c r="O50" s="28">
        <f>0</f>
        <v>0</v>
      </c>
      <c r="P50" s="211">
        <f>SUM(B50:O50)</f>
        <v>972900</v>
      </c>
    </row>
    <row r="51" spans="1:16" ht="21" customHeight="1">
      <c r="A51" s="20">
        <v>551000</v>
      </c>
      <c r="B51" s="28"/>
      <c r="C51" s="30"/>
      <c r="D51" s="29"/>
      <c r="E51" s="29"/>
      <c r="F51" s="30"/>
      <c r="G51" s="29"/>
      <c r="H51" s="28"/>
      <c r="I51" s="29"/>
      <c r="J51" s="29"/>
      <c r="K51" s="211"/>
      <c r="L51" s="29"/>
      <c r="M51" s="29"/>
      <c r="N51" s="211"/>
      <c r="O51" s="29"/>
      <c r="P51" s="211"/>
    </row>
    <row r="52" spans="1:16" ht="21" customHeight="1">
      <c r="A52" s="212">
        <v>510100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11">
        <f>SUM(B52:O52)</f>
        <v>0</v>
      </c>
    </row>
    <row r="53" spans="1:16" ht="21" customHeight="1">
      <c r="A53" s="19" t="s">
        <v>17</v>
      </c>
      <c r="B53" s="29">
        <f aca="true" t="shared" si="9" ref="B53:O53">SUM(B52:B52)</f>
        <v>0</v>
      </c>
      <c r="C53" s="29">
        <f t="shared" si="9"/>
        <v>0</v>
      </c>
      <c r="D53" s="29">
        <f t="shared" si="9"/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0</v>
      </c>
      <c r="O53" s="29">
        <f t="shared" si="9"/>
        <v>0</v>
      </c>
      <c r="P53" s="211">
        <f>SUM(B53:O53)</f>
        <v>0</v>
      </c>
    </row>
    <row r="54" spans="1:16" ht="21" customHeight="1">
      <c r="A54" s="19" t="s">
        <v>18</v>
      </c>
      <c r="B54" s="28">
        <v>0</v>
      </c>
      <c r="C54" s="28">
        <f>0</f>
        <v>0</v>
      </c>
      <c r="D54" s="28">
        <f>0</f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28">
        <v>0</v>
      </c>
      <c r="J54" s="28">
        <v>0</v>
      </c>
      <c r="K54" s="28">
        <f>0</f>
        <v>0</v>
      </c>
      <c r="L54" s="28">
        <f>0</f>
        <v>0</v>
      </c>
      <c r="M54" s="28">
        <f>0</f>
        <v>0</v>
      </c>
      <c r="N54" s="28">
        <f>0</f>
        <v>0</v>
      </c>
      <c r="O54" s="28">
        <f>0</f>
        <v>0</v>
      </c>
      <c r="P54" s="211">
        <f>SUM(B54:O54)</f>
        <v>0</v>
      </c>
    </row>
    <row r="55" spans="1:16" ht="21" customHeight="1">
      <c r="A55" s="20">
        <v>561000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11"/>
    </row>
    <row r="56" spans="1:16" ht="21" customHeight="1">
      <c r="A56" s="212">
        <v>610100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>SUM(B56:O56)</f>
        <v>0</v>
      </c>
    </row>
    <row r="57" spans="1:16" ht="21" customHeight="1">
      <c r="A57" s="19" t="s">
        <v>17</v>
      </c>
      <c r="B57" s="28">
        <f aca="true" t="shared" si="10" ref="B57:O57">SUM(B56)</f>
        <v>0</v>
      </c>
      <c r="C57" s="28">
        <f t="shared" si="10"/>
        <v>0</v>
      </c>
      <c r="D57" s="28">
        <f t="shared" si="10"/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9">
        <f>SUM(B57:O57)</f>
        <v>0</v>
      </c>
    </row>
    <row r="58" spans="1:16" ht="21" customHeight="1">
      <c r="A58" s="19" t="s">
        <v>18</v>
      </c>
      <c r="B58" s="28">
        <f>0</f>
        <v>0</v>
      </c>
      <c r="C58" s="28">
        <f>0</f>
        <v>0</v>
      </c>
      <c r="D58" s="28">
        <f>0</f>
        <v>0</v>
      </c>
      <c r="E58" s="28">
        <v>0</v>
      </c>
      <c r="F58" s="28">
        <f>0</f>
        <v>0</v>
      </c>
      <c r="G58" s="28">
        <f>0</f>
        <v>0</v>
      </c>
      <c r="H58" s="28">
        <f>0</f>
        <v>0</v>
      </c>
      <c r="I58" s="28">
        <f>0</f>
        <v>0</v>
      </c>
      <c r="J58" s="28">
        <v>0</v>
      </c>
      <c r="K58" s="28">
        <f>0</f>
        <v>0</v>
      </c>
      <c r="L58" s="28">
        <f>0</f>
        <v>0</v>
      </c>
      <c r="M58" s="28">
        <v>0</v>
      </c>
      <c r="N58" s="28">
        <f>0</f>
        <v>0</v>
      </c>
      <c r="O58" s="28">
        <f>0</f>
        <v>0</v>
      </c>
      <c r="P58" s="29">
        <f>SUM(B58:O58)</f>
        <v>0</v>
      </c>
    </row>
    <row r="59" spans="1:16" ht="21" customHeight="1">
      <c r="A59" s="19" t="s">
        <v>69</v>
      </c>
      <c r="B59" s="29">
        <f aca="true" t="shared" si="11" ref="B59:O60">B8+B12+B16+B20+B24+B28+B40+B44+B49+B53+B57</f>
        <v>0</v>
      </c>
      <c r="C59" s="29">
        <f t="shared" si="11"/>
        <v>0</v>
      </c>
      <c r="D59" s="29">
        <f t="shared" si="11"/>
        <v>0</v>
      </c>
      <c r="E59" s="29">
        <f t="shared" si="11"/>
        <v>0</v>
      </c>
      <c r="F59" s="29">
        <f t="shared" si="11"/>
        <v>0</v>
      </c>
      <c r="G59" s="29">
        <f t="shared" si="11"/>
        <v>0</v>
      </c>
      <c r="H59" s="29">
        <f t="shared" si="11"/>
        <v>0</v>
      </c>
      <c r="I59" s="29">
        <f t="shared" si="11"/>
        <v>1099400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94000</v>
      </c>
      <c r="P59" s="29">
        <f>SUM(B59:O59)</f>
        <v>1193400</v>
      </c>
    </row>
    <row r="60" spans="1:16" ht="21" customHeight="1">
      <c r="A60" s="19" t="s">
        <v>100</v>
      </c>
      <c r="B60" s="29">
        <f t="shared" si="11"/>
        <v>28000</v>
      </c>
      <c r="C60" s="29">
        <f t="shared" si="11"/>
        <v>0</v>
      </c>
      <c r="D60" s="29">
        <f t="shared" si="11"/>
        <v>0</v>
      </c>
      <c r="E60" s="29">
        <f t="shared" si="11"/>
        <v>0</v>
      </c>
      <c r="F60" s="29">
        <f t="shared" si="11"/>
        <v>70773.8</v>
      </c>
      <c r="G60" s="29">
        <f t="shared" si="11"/>
        <v>0</v>
      </c>
      <c r="H60" s="29">
        <f t="shared" si="11"/>
        <v>0</v>
      </c>
      <c r="I60" s="29">
        <f t="shared" si="11"/>
        <v>1099400</v>
      </c>
      <c r="J60" s="29">
        <f t="shared" si="11"/>
        <v>0</v>
      </c>
      <c r="K60" s="29">
        <f t="shared" si="11"/>
        <v>0</v>
      </c>
      <c r="L60" s="29">
        <f t="shared" si="11"/>
        <v>0</v>
      </c>
      <c r="M60" s="29">
        <f t="shared" si="11"/>
        <v>0</v>
      </c>
      <c r="N60" s="29">
        <f t="shared" si="11"/>
        <v>0</v>
      </c>
      <c r="O60" s="29">
        <f t="shared" si="11"/>
        <v>94000</v>
      </c>
      <c r="P60" s="29">
        <f>SUM(B60:O60)</f>
        <v>1292173.8</v>
      </c>
    </row>
    <row r="61" spans="1:16" ht="21" customHeight="1">
      <c r="A61" s="213"/>
      <c r="B61" s="219"/>
      <c r="C61" s="219"/>
      <c r="D61" s="219"/>
      <c r="E61" s="602" t="s">
        <v>7</v>
      </c>
      <c r="F61" s="602"/>
      <c r="G61" s="602"/>
      <c r="H61" s="226"/>
      <c r="I61" s="226"/>
      <c r="J61" s="602" t="s">
        <v>97</v>
      </c>
      <c r="K61" s="602"/>
      <c r="L61" s="602"/>
      <c r="M61" s="215"/>
      <c r="N61" s="220"/>
      <c r="O61" s="219"/>
      <c r="P61" s="221"/>
    </row>
    <row r="62" spans="1:16" ht="21" customHeight="1">
      <c r="A62" s="213"/>
      <c r="B62" s="34"/>
      <c r="C62" s="34"/>
      <c r="D62" s="3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34"/>
      <c r="P62" s="224"/>
    </row>
    <row r="63" spans="1:16" ht="21" customHeight="1">
      <c r="A63" s="213"/>
      <c r="B63" s="34"/>
      <c r="C63" s="34"/>
      <c r="D63" s="34"/>
      <c r="E63" s="603" t="s">
        <v>114</v>
      </c>
      <c r="F63" s="603"/>
      <c r="G63" s="603"/>
      <c r="H63" s="227"/>
      <c r="I63" s="227"/>
      <c r="J63" s="603" t="s">
        <v>269</v>
      </c>
      <c r="K63" s="603"/>
      <c r="L63" s="603"/>
      <c r="M63" s="215"/>
      <c r="N63" s="214"/>
      <c r="O63" s="34"/>
      <c r="P63" s="224"/>
    </row>
    <row r="64" spans="1:16" ht="21" customHeight="1">
      <c r="A64" s="162"/>
      <c r="B64" s="34"/>
      <c r="C64" s="34"/>
      <c r="D64" s="34"/>
      <c r="E64" s="603" t="s">
        <v>281</v>
      </c>
      <c r="F64" s="603"/>
      <c r="G64" s="603"/>
      <c r="H64" s="227"/>
      <c r="I64" s="227"/>
      <c r="J64" s="603" t="s">
        <v>96</v>
      </c>
      <c r="K64" s="603"/>
      <c r="L64" s="603"/>
      <c r="M64" s="215"/>
      <c r="N64" s="214"/>
      <c r="O64" s="34"/>
      <c r="P64" s="224"/>
    </row>
    <row r="65" spans="1:16" ht="21.75">
      <c r="A65" s="162"/>
      <c r="B65" s="34"/>
      <c r="C65" s="34"/>
      <c r="D65" s="34"/>
      <c r="E65" s="214"/>
      <c r="F65" s="215"/>
      <c r="G65" s="215"/>
      <c r="H65" s="214"/>
      <c r="I65" s="214"/>
      <c r="J65" s="603"/>
      <c r="K65" s="603"/>
      <c r="L65" s="603"/>
      <c r="M65" s="215"/>
      <c r="N65" s="214"/>
      <c r="O65" s="34"/>
      <c r="P65" s="224"/>
    </row>
    <row r="66" spans="2:13" ht="21.75">
      <c r="B66" s="225"/>
      <c r="C66" s="225"/>
      <c r="D66" s="225"/>
      <c r="E66" s="225"/>
      <c r="F66" s="225"/>
      <c r="G66" s="225"/>
      <c r="H66" s="225"/>
      <c r="I66" s="225"/>
      <c r="J66" s="225"/>
      <c r="L66" s="225"/>
      <c r="M66" s="225"/>
    </row>
  </sheetData>
  <sheetProtection/>
  <mergeCells count="26">
    <mergeCell ref="J65:L65"/>
    <mergeCell ref="E61:G61"/>
    <mergeCell ref="J61:L61"/>
    <mergeCell ref="E63:G63"/>
    <mergeCell ref="J63:L63"/>
    <mergeCell ref="E64:G64"/>
    <mergeCell ref="J64:L64"/>
    <mergeCell ref="J34:L34"/>
    <mergeCell ref="A35:P35"/>
    <mergeCell ref="B36:C36"/>
    <mergeCell ref="D36:E36"/>
    <mergeCell ref="I36:J36"/>
    <mergeCell ref="L36:M36"/>
    <mergeCell ref="E30:G30"/>
    <mergeCell ref="J30:L30"/>
    <mergeCell ref="E32:G32"/>
    <mergeCell ref="J32:L32"/>
    <mergeCell ref="E33:G33"/>
    <mergeCell ref="J33:L33"/>
    <mergeCell ref="A1:P1"/>
    <mergeCell ref="A2:P2"/>
    <mergeCell ref="A3:P3"/>
    <mergeCell ref="B4:C4"/>
    <mergeCell ref="D4:E4"/>
    <mergeCell ref="I4:J4"/>
    <mergeCell ref="L4:M4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view="pageBreakPreview" zoomScaleSheetLayoutView="100" zoomScalePageLayoutView="0" workbookViewId="0" topLeftCell="A94">
      <selection activeCell="C76" sqref="C76"/>
    </sheetView>
  </sheetViews>
  <sheetFormatPr defaultColWidth="9.140625" defaultRowHeight="21.75"/>
  <cols>
    <col min="1" max="1" width="9.140625" style="91" customWidth="1"/>
    <col min="2" max="2" width="50.8515625" style="91" customWidth="1"/>
    <col min="3" max="4" width="14.7109375" style="91" customWidth="1"/>
    <col min="5" max="5" width="14.7109375" style="443" customWidth="1"/>
    <col min="6" max="16384" width="9.140625" style="91" customWidth="1"/>
  </cols>
  <sheetData>
    <row r="1" spans="1:10" ht="23.25">
      <c r="A1" s="520" t="s">
        <v>55</v>
      </c>
      <c r="B1" s="520"/>
      <c r="C1" s="520"/>
      <c r="D1" s="520"/>
      <c r="E1" s="520"/>
      <c r="F1" s="176"/>
      <c r="G1" s="176"/>
      <c r="H1" s="176"/>
      <c r="I1" s="123"/>
      <c r="J1" s="123"/>
    </row>
    <row r="2" spans="1:8" ht="23.25">
      <c r="A2" s="518" t="s">
        <v>301</v>
      </c>
      <c r="B2" s="518"/>
      <c r="C2" s="518"/>
      <c r="D2" s="518"/>
      <c r="E2" s="518"/>
      <c r="F2" s="176"/>
      <c r="G2" s="176"/>
      <c r="H2" s="176"/>
    </row>
    <row r="3" spans="1:8" ht="23.25">
      <c r="A3" s="518" t="s">
        <v>338</v>
      </c>
      <c r="B3" s="518"/>
      <c r="C3" s="518"/>
      <c r="D3" s="518"/>
      <c r="E3" s="518"/>
      <c r="F3" s="176"/>
      <c r="G3" s="176"/>
      <c r="H3" s="176"/>
    </row>
    <row r="4" spans="1:8" ht="23.25">
      <c r="A4" s="518" t="s">
        <v>120</v>
      </c>
      <c r="B4" s="518"/>
      <c r="C4" s="518"/>
      <c r="D4" s="518"/>
      <c r="E4" s="518"/>
      <c r="F4" s="176"/>
      <c r="G4" s="176"/>
      <c r="H4" s="176"/>
    </row>
    <row r="5" spans="1:10" ht="21">
      <c r="A5" s="183" t="s">
        <v>142</v>
      </c>
      <c r="B5" s="183" t="s">
        <v>25</v>
      </c>
      <c r="C5" s="183" t="s">
        <v>23</v>
      </c>
      <c r="D5" s="183" t="s">
        <v>22</v>
      </c>
      <c r="E5" s="199" t="s">
        <v>146</v>
      </c>
      <c r="F5" s="123"/>
      <c r="G5" s="123"/>
      <c r="H5" s="123"/>
      <c r="I5" s="123"/>
      <c r="J5" s="123"/>
    </row>
    <row r="6" spans="1:10" ht="21">
      <c r="A6" s="188" t="s">
        <v>30</v>
      </c>
      <c r="B6" s="189"/>
      <c r="C6" s="190"/>
      <c r="D6" s="190"/>
      <c r="E6" s="438"/>
      <c r="F6" s="123"/>
      <c r="G6" s="123"/>
      <c r="H6" s="123"/>
      <c r="I6" s="123"/>
      <c r="J6" s="123"/>
    </row>
    <row r="7" spans="1:10" ht="21">
      <c r="A7" s="184">
        <v>1</v>
      </c>
      <c r="B7" s="193" t="s">
        <v>216</v>
      </c>
      <c r="C7" s="468">
        <v>36000</v>
      </c>
      <c r="D7" s="468">
        <v>26853</v>
      </c>
      <c r="E7" s="436">
        <f>453.9+26853</f>
        <v>27306.9</v>
      </c>
      <c r="F7" s="92"/>
      <c r="G7" s="125"/>
      <c r="H7" s="92"/>
      <c r="I7" s="92"/>
      <c r="J7" s="92"/>
    </row>
    <row r="8" spans="1:10" ht="21">
      <c r="A8" s="184">
        <v>2</v>
      </c>
      <c r="B8" s="193" t="s">
        <v>147</v>
      </c>
      <c r="C8" s="468">
        <v>80000</v>
      </c>
      <c r="D8" s="468">
        <v>41.65</v>
      </c>
      <c r="E8" s="436">
        <f>526.79+801+716.28+472.95+41.65</f>
        <v>2558.67</v>
      </c>
      <c r="F8" s="92"/>
      <c r="G8" s="125"/>
      <c r="H8" s="92"/>
      <c r="I8" s="92"/>
      <c r="J8" s="92"/>
    </row>
    <row r="9" spans="1:10" ht="21">
      <c r="A9" s="184">
        <v>3</v>
      </c>
      <c r="B9" s="193" t="s">
        <v>228</v>
      </c>
      <c r="C9" s="468">
        <v>500</v>
      </c>
      <c r="D9" s="468">
        <v>0</v>
      </c>
      <c r="E9" s="436">
        <v>0</v>
      </c>
      <c r="F9" s="92"/>
      <c r="G9" s="125"/>
      <c r="H9" s="92"/>
      <c r="I9" s="92"/>
      <c r="J9" s="92"/>
    </row>
    <row r="10" spans="1:10" ht="21">
      <c r="A10" s="193"/>
      <c r="B10" s="194"/>
      <c r="C10" s="199">
        <f>SUM(C7:C9)</f>
        <v>116500</v>
      </c>
      <c r="D10" s="199">
        <f>SUM(D7:D9)</f>
        <v>26894.65</v>
      </c>
      <c r="E10" s="439">
        <f>SUM(E7:E9)</f>
        <v>29865.57</v>
      </c>
      <c r="F10" s="123"/>
      <c r="G10" s="126"/>
      <c r="H10" s="123"/>
      <c r="I10" s="123"/>
      <c r="J10" s="123"/>
    </row>
    <row r="11" spans="1:10" ht="21">
      <c r="A11" s="195" t="s">
        <v>31</v>
      </c>
      <c r="B11" s="194"/>
      <c r="C11" s="198"/>
      <c r="D11" s="198"/>
      <c r="E11" s="440"/>
      <c r="F11" s="123"/>
      <c r="G11" s="125"/>
      <c r="H11" s="123"/>
      <c r="I11" s="123"/>
      <c r="J11" s="123"/>
    </row>
    <row r="12" spans="1:10" ht="21">
      <c r="A12" s="184">
        <v>1</v>
      </c>
      <c r="B12" s="193" t="s">
        <v>229</v>
      </c>
      <c r="C12" s="468">
        <v>500</v>
      </c>
      <c r="D12" s="468">
        <v>0</v>
      </c>
      <c r="E12" s="436">
        <v>0</v>
      </c>
      <c r="F12" s="92"/>
      <c r="G12" s="125"/>
      <c r="H12" s="92"/>
      <c r="I12" s="92"/>
      <c r="J12" s="92"/>
    </row>
    <row r="13" spans="1:10" ht="21">
      <c r="A13" s="184">
        <v>2</v>
      </c>
      <c r="B13" s="193" t="s">
        <v>272</v>
      </c>
      <c r="C13" s="468">
        <v>500</v>
      </c>
      <c r="D13" s="468">
        <v>0</v>
      </c>
      <c r="E13" s="436">
        <v>50</v>
      </c>
      <c r="F13" s="92"/>
      <c r="G13" s="125"/>
      <c r="H13" s="92"/>
      <c r="I13" s="92"/>
      <c r="J13" s="92"/>
    </row>
    <row r="14" spans="1:10" ht="21">
      <c r="A14" s="184">
        <v>3</v>
      </c>
      <c r="B14" s="193" t="s">
        <v>236</v>
      </c>
      <c r="C14" s="468"/>
      <c r="D14" s="468"/>
      <c r="E14" s="436"/>
      <c r="F14" s="92"/>
      <c r="G14" s="125"/>
      <c r="H14" s="92"/>
      <c r="I14" s="92"/>
      <c r="J14" s="92"/>
    </row>
    <row r="15" spans="1:10" ht="21">
      <c r="A15" s="184"/>
      <c r="B15" s="193" t="s">
        <v>302</v>
      </c>
      <c r="C15" s="468">
        <v>40000</v>
      </c>
      <c r="D15" s="468">
        <v>6080</v>
      </c>
      <c r="E15" s="436">
        <f>2280+3800+2030+2660+6080</f>
        <v>16850</v>
      </c>
      <c r="F15" s="92"/>
      <c r="G15" s="125"/>
      <c r="H15" s="92"/>
      <c r="I15" s="92"/>
      <c r="J15" s="92"/>
    </row>
    <row r="16" spans="1:10" ht="21">
      <c r="A16" s="184"/>
      <c r="B16" s="193" t="s">
        <v>303</v>
      </c>
      <c r="C16" s="468">
        <v>30000</v>
      </c>
      <c r="D16" s="468">
        <v>2495</v>
      </c>
      <c r="E16" s="436">
        <f>350+2185+4160+75+2495</f>
        <v>9265</v>
      </c>
      <c r="F16" s="92"/>
      <c r="G16" s="125"/>
      <c r="H16" s="92"/>
      <c r="I16" s="92"/>
      <c r="J16" s="92"/>
    </row>
    <row r="17" spans="1:10" ht="21">
      <c r="A17" s="184"/>
      <c r="B17" s="193" t="s">
        <v>304</v>
      </c>
      <c r="C17" s="468">
        <v>2000</v>
      </c>
      <c r="D17" s="468">
        <v>0</v>
      </c>
      <c r="E17" s="436">
        <f>1000+200</f>
        <v>1200</v>
      </c>
      <c r="F17" s="92"/>
      <c r="G17" s="125"/>
      <c r="H17" s="92"/>
      <c r="I17" s="92"/>
      <c r="J17" s="92"/>
    </row>
    <row r="18" spans="1:10" ht="21">
      <c r="A18" s="184">
        <v>4</v>
      </c>
      <c r="B18" s="193" t="s">
        <v>163</v>
      </c>
      <c r="C18" s="468">
        <v>2000</v>
      </c>
      <c r="D18" s="468">
        <v>500</v>
      </c>
      <c r="E18" s="436">
        <v>500</v>
      </c>
      <c r="F18" s="92"/>
      <c r="G18" s="125"/>
      <c r="H18" s="92"/>
      <c r="I18" s="92"/>
      <c r="J18" s="92"/>
    </row>
    <row r="19" spans="1:10" ht="21">
      <c r="A19" s="184">
        <v>5</v>
      </c>
      <c r="B19" s="193" t="s">
        <v>245</v>
      </c>
      <c r="C19" s="468">
        <v>10000</v>
      </c>
      <c r="D19" s="468">
        <v>0</v>
      </c>
      <c r="E19" s="436">
        <v>800</v>
      </c>
      <c r="F19" s="92"/>
      <c r="G19" s="125"/>
      <c r="H19" s="92"/>
      <c r="I19" s="92"/>
      <c r="J19" s="92"/>
    </row>
    <row r="20" spans="1:10" ht="21">
      <c r="A20" s="184">
        <v>6</v>
      </c>
      <c r="B20" s="193" t="s">
        <v>246</v>
      </c>
      <c r="C20" s="468">
        <v>1000</v>
      </c>
      <c r="D20" s="468">
        <v>0</v>
      </c>
      <c r="E20" s="436">
        <v>0</v>
      </c>
      <c r="F20" s="92"/>
      <c r="G20" s="126"/>
      <c r="H20" s="92"/>
      <c r="I20" s="92"/>
      <c r="J20" s="92"/>
    </row>
    <row r="21" spans="1:10" ht="21">
      <c r="A21" s="184">
        <v>7</v>
      </c>
      <c r="B21" s="193" t="s">
        <v>247</v>
      </c>
      <c r="C21" s="469">
        <v>1000</v>
      </c>
      <c r="D21" s="469">
        <v>0</v>
      </c>
      <c r="E21" s="470">
        <v>0</v>
      </c>
      <c r="F21" s="92"/>
      <c r="G21" s="126"/>
      <c r="H21" s="92"/>
      <c r="I21" s="92"/>
      <c r="J21" s="92"/>
    </row>
    <row r="22" spans="1:10" ht="21">
      <c r="A22" s="184"/>
      <c r="B22" s="193"/>
      <c r="C22" s="469"/>
      <c r="D22" s="469"/>
      <c r="E22" s="470"/>
      <c r="F22" s="92"/>
      <c r="G22" s="126"/>
      <c r="H22" s="92"/>
      <c r="I22" s="92"/>
      <c r="J22" s="92"/>
    </row>
    <row r="23" spans="1:10" ht="21">
      <c r="A23" s="193"/>
      <c r="B23" s="194"/>
      <c r="C23" s="199">
        <f>SUM(C12:C22)</f>
        <v>87000</v>
      </c>
      <c r="D23" s="199">
        <f>SUM(D12:D22)</f>
        <v>9075</v>
      </c>
      <c r="E23" s="439">
        <f>SUM(E12:E22)</f>
        <v>28665</v>
      </c>
      <c r="F23" s="123"/>
      <c r="G23" s="126"/>
      <c r="H23" s="123"/>
      <c r="I23" s="123"/>
      <c r="J23" s="123"/>
    </row>
    <row r="24" spans="1:10" ht="21">
      <c r="A24" s="195" t="s">
        <v>32</v>
      </c>
      <c r="B24" s="194"/>
      <c r="C24" s="198"/>
      <c r="D24" s="198"/>
      <c r="E24" s="440"/>
      <c r="F24" s="123"/>
      <c r="G24" s="126"/>
      <c r="H24" s="123"/>
      <c r="I24" s="123"/>
      <c r="J24" s="123"/>
    </row>
    <row r="25" spans="1:10" ht="21">
      <c r="A25" s="184">
        <v>1</v>
      </c>
      <c r="B25" s="193" t="s">
        <v>234</v>
      </c>
      <c r="C25" s="471">
        <v>25000</v>
      </c>
      <c r="D25" s="471">
        <v>0</v>
      </c>
      <c r="E25" s="470">
        <v>0</v>
      </c>
      <c r="F25" s="92"/>
      <c r="G25" s="126"/>
      <c r="H25" s="92"/>
      <c r="I25" s="92"/>
      <c r="J25" s="92"/>
    </row>
    <row r="26" spans="1:10" ht="21">
      <c r="A26" s="193"/>
      <c r="B26" s="194"/>
      <c r="C26" s="199">
        <f>SUM(C25)</f>
        <v>25000</v>
      </c>
      <c r="D26" s="199">
        <f>SUM(D25)</f>
        <v>0</v>
      </c>
      <c r="E26" s="439">
        <f>SUM(E25)</f>
        <v>0</v>
      </c>
      <c r="F26" s="123"/>
      <c r="G26" s="126"/>
      <c r="H26" s="123"/>
      <c r="I26" s="123"/>
      <c r="J26" s="123"/>
    </row>
    <row r="27" spans="1:10" ht="21">
      <c r="A27" s="195" t="s">
        <v>33</v>
      </c>
      <c r="B27" s="194"/>
      <c r="C27" s="198"/>
      <c r="D27" s="198"/>
      <c r="E27" s="440"/>
      <c r="F27" s="123"/>
      <c r="G27" s="126"/>
      <c r="H27" s="123"/>
      <c r="I27" s="123"/>
      <c r="J27" s="123"/>
    </row>
    <row r="28" spans="1:10" ht="21">
      <c r="A28" s="184">
        <v>1</v>
      </c>
      <c r="B28" s="193" t="s">
        <v>248</v>
      </c>
      <c r="C28" s="471">
        <v>230000</v>
      </c>
      <c r="D28" s="471">
        <v>45123</v>
      </c>
      <c r="E28" s="470">
        <f>2816+21255+41301+932+45123</f>
        <v>111427</v>
      </c>
      <c r="F28" s="92"/>
      <c r="G28" s="126"/>
      <c r="H28" s="92"/>
      <c r="I28" s="92"/>
      <c r="J28" s="92"/>
    </row>
    <row r="29" spans="1:10" ht="21">
      <c r="A29" s="184"/>
      <c r="B29" s="193"/>
      <c r="C29" s="199">
        <f>SUM(C28)</f>
        <v>230000</v>
      </c>
      <c r="D29" s="199">
        <f>SUM(D28)</f>
        <v>45123</v>
      </c>
      <c r="E29" s="439">
        <f>SUM(E28)</f>
        <v>111427</v>
      </c>
      <c r="F29" s="123"/>
      <c r="G29" s="126"/>
      <c r="H29" s="123"/>
      <c r="I29" s="123"/>
      <c r="J29" s="123"/>
    </row>
    <row r="30" spans="1:10" ht="21">
      <c r="A30" s="195" t="s">
        <v>34</v>
      </c>
      <c r="B30" s="194"/>
      <c r="C30" s="198"/>
      <c r="D30" s="198"/>
      <c r="E30" s="440"/>
      <c r="F30" s="123"/>
      <c r="G30" s="126"/>
      <c r="H30" s="123"/>
      <c r="I30" s="123"/>
      <c r="J30" s="123"/>
    </row>
    <row r="31" spans="1:10" ht="21">
      <c r="A31" s="184">
        <v>1</v>
      </c>
      <c r="B31" s="193" t="s">
        <v>230</v>
      </c>
      <c r="C31" s="471">
        <v>50000</v>
      </c>
      <c r="D31" s="471">
        <v>0</v>
      </c>
      <c r="E31" s="470">
        <v>0</v>
      </c>
      <c r="F31" s="92"/>
      <c r="G31" s="126"/>
      <c r="H31" s="92"/>
      <c r="I31" s="92"/>
      <c r="J31" s="92"/>
    </row>
    <row r="32" spans="1:10" ht="21">
      <c r="A32" s="184">
        <v>2</v>
      </c>
      <c r="B32" s="193" t="s">
        <v>250</v>
      </c>
      <c r="C32" s="471">
        <v>5000</v>
      </c>
      <c r="D32" s="471">
        <v>0</v>
      </c>
      <c r="E32" s="470">
        <v>0</v>
      </c>
      <c r="F32" s="92"/>
      <c r="G32" s="126"/>
      <c r="H32" s="92"/>
      <c r="I32" s="92"/>
      <c r="J32" s="92"/>
    </row>
    <row r="33" spans="1:10" ht="21">
      <c r="A33" s="451"/>
      <c r="B33" s="452"/>
      <c r="C33" s="199">
        <f>SUM(C31:C32)</f>
        <v>55000</v>
      </c>
      <c r="D33" s="199">
        <f>SUM(D31:D32)</f>
        <v>0</v>
      </c>
      <c r="E33" s="439">
        <f>SUM(E31:E32)</f>
        <v>0</v>
      </c>
      <c r="F33" s="123"/>
      <c r="G33" s="126"/>
      <c r="H33" s="123"/>
      <c r="I33" s="123"/>
      <c r="J33" s="123"/>
    </row>
    <row r="34" spans="1:10" ht="21">
      <c r="A34" s="299"/>
      <c r="B34" s="448"/>
      <c r="C34" s="449"/>
      <c r="D34" s="449"/>
      <c r="E34" s="450"/>
      <c r="F34" s="123"/>
      <c r="G34" s="126"/>
      <c r="H34" s="123"/>
      <c r="I34" s="123"/>
      <c r="J34" s="123"/>
    </row>
    <row r="35" spans="1:10" ht="21">
      <c r="A35" s="519" t="s">
        <v>71</v>
      </c>
      <c r="B35" s="519"/>
      <c r="C35" s="519"/>
      <c r="D35" s="519"/>
      <c r="E35" s="519"/>
      <c r="F35" s="123"/>
      <c r="G35" s="126"/>
      <c r="H35" s="123"/>
      <c r="I35" s="123"/>
      <c r="J35" s="123"/>
    </row>
    <row r="36" spans="1:10" ht="21">
      <c r="A36" s="195" t="s">
        <v>35</v>
      </c>
      <c r="B36" s="194"/>
      <c r="C36" s="198"/>
      <c r="D36" s="198"/>
      <c r="E36" s="440"/>
      <c r="F36" s="123"/>
      <c r="G36" s="126"/>
      <c r="H36" s="123"/>
      <c r="I36" s="123"/>
      <c r="J36" s="123"/>
    </row>
    <row r="37" spans="1:10" ht="21">
      <c r="A37" s="184">
        <v>1</v>
      </c>
      <c r="B37" s="193" t="s">
        <v>249</v>
      </c>
      <c r="C37" s="471">
        <v>1500</v>
      </c>
      <c r="D37" s="471">
        <v>0</v>
      </c>
      <c r="E37" s="470">
        <v>1170</v>
      </c>
      <c r="F37" s="92"/>
      <c r="G37" s="126"/>
      <c r="H37" s="92"/>
      <c r="I37" s="92"/>
      <c r="J37" s="92"/>
    </row>
    <row r="38" spans="1:10" ht="21">
      <c r="A38" s="391"/>
      <c r="B38" s="392"/>
      <c r="C38" s="199">
        <f>SUM(C37)</f>
        <v>1500</v>
      </c>
      <c r="D38" s="199">
        <f>SUM(D37)</f>
        <v>0</v>
      </c>
      <c r="E38" s="439">
        <f>SUM(E37)</f>
        <v>1170</v>
      </c>
      <c r="F38" s="123"/>
      <c r="G38" s="126"/>
      <c r="H38" s="123"/>
      <c r="I38" s="123"/>
      <c r="J38" s="123"/>
    </row>
    <row r="39" spans="1:10" ht="21">
      <c r="A39" s="393" t="s">
        <v>36</v>
      </c>
      <c r="B39" s="394"/>
      <c r="C39" s="395"/>
      <c r="D39" s="395"/>
      <c r="E39" s="442"/>
      <c r="F39" s="123"/>
      <c r="G39" s="126"/>
      <c r="H39" s="123"/>
      <c r="I39" s="123"/>
      <c r="J39" s="123"/>
    </row>
    <row r="40" spans="1:10" ht="21">
      <c r="A40" s="184">
        <v>1</v>
      </c>
      <c r="B40" s="193" t="s">
        <v>161</v>
      </c>
      <c r="C40" s="468">
        <v>5500000</v>
      </c>
      <c r="D40" s="468">
        <v>448347.97</v>
      </c>
      <c r="E40" s="436">
        <f>406658.36+344469.87+448347.97</f>
        <v>1199476.2</v>
      </c>
      <c r="F40" s="92"/>
      <c r="G40" s="125"/>
      <c r="H40" s="92"/>
      <c r="I40" s="92"/>
      <c r="J40" s="92"/>
    </row>
    <row r="41" spans="1:10" ht="21">
      <c r="A41" s="184">
        <v>2</v>
      </c>
      <c r="B41" s="193" t="s">
        <v>162</v>
      </c>
      <c r="C41" s="468">
        <v>1500000</v>
      </c>
      <c r="D41" s="468">
        <v>111533.29</v>
      </c>
      <c r="E41" s="436">
        <f>138590.06+115371.19+102729.72+187542.09+111533.29</f>
        <v>655766.35</v>
      </c>
      <c r="F41" s="92"/>
      <c r="G41" s="125"/>
      <c r="H41" s="92"/>
      <c r="I41" s="92"/>
      <c r="J41" s="92"/>
    </row>
    <row r="42" spans="1:10" ht="21">
      <c r="A42" s="184">
        <v>3</v>
      </c>
      <c r="B42" s="193" t="s">
        <v>235</v>
      </c>
      <c r="C42" s="468">
        <v>25000</v>
      </c>
      <c r="D42" s="468">
        <v>0</v>
      </c>
      <c r="E42" s="436">
        <v>16637.39</v>
      </c>
      <c r="F42" s="92"/>
      <c r="G42" s="125"/>
      <c r="H42" s="92"/>
      <c r="I42" s="92"/>
      <c r="J42" s="92"/>
    </row>
    <row r="43" spans="1:10" ht="21">
      <c r="A43" s="184">
        <v>4</v>
      </c>
      <c r="B43" s="193" t="s">
        <v>148</v>
      </c>
      <c r="C43" s="468">
        <v>750000</v>
      </c>
      <c r="D43" s="468">
        <v>78503.66</v>
      </c>
      <c r="E43" s="436">
        <f>75717.65+58333.35+63101.84+86422.9+78503.66</f>
        <v>362079.4</v>
      </c>
      <c r="F43" s="92"/>
      <c r="G43" s="125"/>
      <c r="H43" s="92"/>
      <c r="I43" s="92"/>
      <c r="J43" s="92"/>
    </row>
    <row r="44" spans="1:10" ht="21">
      <c r="A44" s="184">
        <v>5</v>
      </c>
      <c r="B44" s="193" t="s">
        <v>149</v>
      </c>
      <c r="C44" s="468">
        <v>2050000</v>
      </c>
      <c r="D44" s="468">
        <v>114945.07</v>
      </c>
      <c r="E44" s="436">
        <f>138075.39+97112.31+102728.98+93421.43+114945.07</f>
        <v>546283.1799999999</v>
      </c>
      <c r="F44" s="92"/>
      <c r="G44" s="125"/>
      <c r="H44" s="92"/>
      <c r="I44" s="92"/>
      <c r="J44" s="92"/>
    </row>
    <row r="45" spans="1:10" ht="21">
      <c r="A45" s="184">
        <v>6</v>
      </c>
      <c r="B45" s="193" t="s">
        <v>213</v>
      </c>
      <c r="C45" s="469">
        <v>65000</v>
      </c>
      <c r="D45" s="469">
        <v>0</v>
      </c>
      <c r="E45" s="470">
        <v>19842.6</v>
      </c>
      <c r="F45" s="92"/>
      <c r="G45" s="125"/>
      <c r="H45" s="92"/>
      <c r="I45" s="92"/>
      <c r="J45" s="92"/>
    </row>
    <row r="46" spans="1:10" ht="21">
      <c r="A46" s="184">
        <v>7</v>
      </c>
      <c r="B46" s="193" t="s">
        <v>214</v>
      </c>
      <c r="C46" s="469">
        <v>40000</v>
      </c>
      <c r="D46" s="469">
        <v>15072.1</v>
      </c>
      <c r="E46" s="470">
        <f>14464+15072.1</f>
        <v>29536.1</v>
      </c>
      <c r="F46" s="92"/>
      <c r="G46" s="125"/>
      <c r="H46" s="92"/>
      <c r="I46" s="92"/>
      <c r="J46" s="92"/>
    </row>
    <row r="47" spans="1:10" ht="21">
      <c r="A47" s="184">
        <v>8</v>
      </c>
      <c r="B47" s="193" t="s">
        <v>150</v>
      </c>
      <c r="C47" s="469">
        <v>430000</v>
      </c>
      <c r="D47" s="469">
        <v>21488</v>
      </c>
      <c r="E47" s="470">
        <f>12277+43600+58372+14502+21488</f>
        <v>150239</v>
      </c>
      <c r="F47" s="92"/>
      <c r="G47" s="125"/>
      <c r="H47" s="92"/>
      <c r="I47" s="92"/>
      <c r="J47" s="92"/>
    </row>
    <row r="48" spans="1:10" ht="21">
      <c r="A48" s="184">
        <v>9</v>
      </c>
      <c r="B48" s="193" t="s">
        <v>251</v>
      </c>
      <c r="C48" s="469">
        <v>1500</v>
      </c>
      <c r="D48" s="469">
        <v>0</v>
      </c>
      <c r="E48" s="470">
        <v>0</v>
      </c>
      <c r="F48" s="92"/>
      <c r="G48" s="125"/>
      <c r="H48" s="92"/>
      <c r="I48" s="92"/>
      <c r="J48" s="92"/>
    </row>
    <row r="49" spans="1:10" ht="21">
      <c r="A49" s="184"/>
      <c r="B49" s="193"/>
      <c r="C49" s="197"/>
      <c r="D49" s="197"/>
      <c r="E49" s="441"/>
      <c r="F49" s="123"/>
      <c r="G49" s="125"/>
      <c r="H49" s="123"/>
      <c r="I49" s="123"/>
      <c r="J49" s="123"/>
    </row>
    <row r="50" spans="1:10" ht="21">
      <c r="A50" s="193"/>
      <c r="B50" s="194"/>
      <c r="C50" s="199">
        <f>SUM(C40:C49)</f>
        <v>10361500</v>
      </c>
      <c r="D50" s="199">
        <f>SUM(D40:D49)</f>
        <v>789890.09</v>
      </c>
      <c r="E50" s="439">
        <f>SUM(E40:E49)</f>
        <v>2979860.2199999997</v>
      </c>
      <c r="F50" s="123"/>
      <c r="G50" s="126"/>
      <c r="H50" s="123"/>
      <c r="I50" s="123"/>
      <c r="J50" s="123"/>
    </row>
    <row r="51" spans="1:10" ht="21">
      <c r="A51" s="195" t="s">
        <v>129</v>
      </c>
      <c r="B51" s="194"/>
      <c r="C51" s="200"/>
      <c r="D51" s="200"/>
      <c r="E51" s="445"/>
      <c r="F51" s="123"/>
      <c r="G51" s="125"/>
      <c r="H51" s="123"/>
      <c r="I51" s="123"/>
      <c r="J51" s="123"/>
    </row>
    <row r="52" spans="1:10" ht="21">
      <c r="A52" s="184">
        <v>1</v>
      </c>
      <c r="B52" s="193" t="s">
        <v>305</v>
      </c>
      <c r="C52" s="469">
        <v>6900000</v>
      </c>
      <c r="D52" s="469">
        <v>0</v>
      </c>
      <c r="E52" s="470">
        <f>1276724+771040</f>
        <v>2047764</v>
      </c>
      <c r="F52" s="92"/>
      <c r="G52" s="126"/>
      <c r="H52" s="92"/>
      <c r="I52" s="92"/>
      <c r="J52" s="92"/>
    </row>
    <row r="53" spans="1:10" ht="21">
      <c r="A53" s="184"/>
      <c r="B53" s="193"/>
      <c r="C53" s="240">
        <f>SUM(C52)</f>
        <v>6900000</v>
      </c>
      <c r="D53" s="240">
        <f>SUM(D52)</f>
        <v>0</v>
      </c>
      <c r="E53" s="439">
        <f>SUM(E52)</f>
        <v>2047764</v>
      </c>
      <c r="F53" s="123"/>
      <c r="G53" s="126"/>
      <c r="H53" s="123"/>
      <c r="I53" s="123"/>
      <c r="J53" s="123"/>
    </row>
    <row r="54" spans="1:10" ht="21">
      <c r="A54" s="230" t="s">
        <v>176</v>
      </c>
      <c r="B54" s="200"/>
      <c r="C54" s="200"/>
      <c r="D54" s="200"/>
      <c r="E54" s="440"/>
      <c r="F54" s="123"/>
      <c r="G54" s="125"/>
      <c r="H54" s="123"/>
      <c r="I54" s="123"/>
      <c r="J54" s="123"/>
    </row>
    <row r="55" spans="1:10" ht="21">
      <c r="A55" s="184">
        <v>1</v>
      </c>
      <c r="B55" s="193" t="s">
        <v>325</v>
      </c>
      <c r="C55" s="469">
        <v>0</v>
      </c>
      <c r="D55" s="469">
        <v>0</v>
      </c>
      <c r="E55" s="436">
        <f>129000+128000</f>
        <v>257000</v>
      </c>
      <c r="F55" s="92"/>
      <c r="G55" s="126"/>
      <c r="H55" s="92"/>
      <c r="I55" s="92"/>
      <c r="J55" s="92"/>
    </row>
    <row r="56" spans="1:10" ht="21">
      <c r="A56" s="184">
        <v>2</v>
      </c>
      <c r="B56" s="193" t="s">
        <v>326</v>
      </c>
      <c r="C56" s="469">
        <v>0</v>
      </c>
      <c r="D56" s="469">
        <v>0</v>
      </c>
      <c r="E56" s="436">
        <f>1375500+169400+338800</f>
        <v>1883700</v>
      </c>
      <c r="F56" s="92"/>
      <c r="G56" s="126"/>
      <c r="H56" s="92"/>
      <c r="I56" s="92"/>
      <c r="J56" s="92"/>
    </row>
    <row r="57" spans="1:10" ht="21">
      <c r="A57" s="184">
        <v>3</v>
      </c>
      <c r="B57" s="193" t="s">
        <v>335</v>
      </c>
      <c r="C57" s="469">
        <v>0</v>
      </c>
      <c r="D57" s="469">
        <v>0</v>
      </c>
      <c r="E57" s="436">
        <v>263466</v>
      </c>
      <c r="F57" s="92"/>
      <c r="G57" s="126"/>
      <c r="H57" s="92"/>
      <c r="I57" s="92"/>
      <c r="J57" s="92"/>
    </row>
    <row r="58" spans="1:10" ht="21">
      <c r="A58" s="184"/>
      <c r="B58" s="193"/>
      <c r="C58" s="469"/>
      <c r="D58" s="469"/>
      <c r="E58" s="436"/>
      <c r="F58" s="92"/>
      <c r="G58" s="126"/>
      <c r="H58" s="92"/>
      <c r="I58" s="92"/>
      <c r="J58" s="92"/>
    </row>
    <row r="59" spans="1:10" ht="21">
      <c r="A59" s="184"/>
      <c r="B59" s="193"/>
      <c r="C59" s="469"/>
      <c r="D59" s="469"/>
      <c r="E59" s="436"/>
      <c r="F59" s="92"/>
      <c r="G59" s="126"/>
      <c r="H59" s="92"/>
      <c r="I59" s="92"/>
      <c r="J59" s="92"/>
    </row>
    <row r="60" spans="1:10" ht="21">
      <c r="A60" s="184"/>
      <c r="B60" s="193"/>
      <c r="C60" s="228"/>
      <c r="D60" s="228"/>
      <c r="E60" s="441"/>
      <c r="F60" s="123"/>
      <c r="G60" s="126"/>
      <c r="H60" s="123"/>
      <c r="I60" s="123"/>
      <c r="J60" s="123"/>
    </row>
    <row r="61" spans="1:10" ht="21">
      <c r="A61" s="193"/>
      <c r="B61" s="194"/>
      <c r="C61" s="201">
        <f>SUM(C55:C60)</f>
        <v>0</v>
      </c>
      <c r="D61" s="201">
        <f>SUM(D55:D60)</f>
        <v>0</v>
      </c>
      <c r="E61" s="439">
        <f>SUM(E55:E60)</f>
        <v>2404166</v>
      </c>
      <c r="F61" s="123"/>
      <c r="G61" s="126"/>
      <c r="H61" s="123"/>
      <c r="I61" s="123"/>
      <c r="J61" s="123"/>
    </row>
    <row r="62" spans="1:10" ht="21.75" thickBot="1">
      <c r="A62" s="191"/>
      <c r="B62" s="192"/>
      <c r="C62" s="196">
        <f>C10+C23+C26+C29+C33+C38+C50+C53+C61</f>
        <v>17776500</v>
      </c>
      <c r="D62" s="196">
        <f>D10+D23+D26+D29+D33+D38+D50+D53+D61</f>
        <v>870982.74</v>
      </c>
      <c r="E62" s="196">
        <f>E10+E23+E26+E29+E33+E38+E50+E53+E61</f>
        <v>7602917.789999999</v>
      </c>
      <c r="F62" s="123"/>
      <c r="G62" s="126"/>
      <c r="H62" s="123"/>
      <c r="I62" s="123"/>
      <c r="J62" s="123"/>
    </row>
    <row r="63" spans="1:10" ht="21.75" thickTop="1">
      <c r="A63" s="124"/>
      <c r="B63" s="123"/>
      <c r="C63" s="123"/>
      <c r="D63" s="123"/>
      <c r="E63" s="446"/>
      <c r="F63" s="123"/>
      <c r="G63" s="126"/>
      <c r="H63" s="123"/>
      <c r="I63" s="123"/>
      <c r="J63" s="123"/>
    </row>
    <row r="64" spans="1:10" ht="23.25">
      <c r="A64" s="124"/>
      <c r="B64" s="77"/>
      <c r="C64" s="110" t="s">
        <v>97</v>
      </c>
      <c r="D64" s="77"/>
      <c r="E64" s="446"/>
      <c r="F64" s="123"/>
      <c r="G64" s="126"/>
      <c r="H64" s="123"/>
      <c r="I64" s="123"/>
      <c r="J64" s="123"/>
    </row>
    <row r="65" spans="1:10" ht="23.25">
      <c r="A65" s="124"/>
      <c r="B65" s="77"/>
      <c r="C65" s="110"/>
      <c r="D65" s="77"/>
      <c r="E65" s="446"/>
      <c r="F65" s="123"/>
      <c r="G65" s="126"/>
      <c r="H65" s="123"/>
      <c r="I65" s="123"/>
      <c r="J65" s="123"/>
    </row>
    <row r="66" spans="1:10" ht="23.25">
      <c r="A66" s="124"/>
      <c r="B66" s="77"/>
      <c r="C66" s="110" t="s">
        <v>273</v>
      </c>
      <c r="D66" s="77"/>
      <c r="E66" s="446"/>
      <c r="F66" s="123"/>
      <c r="G66" s="126"/>
      <c r="H66" s="123"/>
      <c r="I66" s="123"/>
      <c r="J66" s="123"/>
    </row>
    <row r="67" spans="3:6" ht="23.25">
      <c r="C67" s="110" t="s">
        <v>96</v>
      </c>
      <c r="F67" s="92"/>
    </row>
    <row r="68" spans="3:6" ht="23.25">
      <c r="C68" s="110"/>
      <c r="F68" s="92"/>
    </row>
    <row r="69" spans="1:8" ht="23.25">
      <c r="A69" s="520" t="s">
        <v>126</v>
      </c>
      <c r="B69" s="520"/>
      <c r="C69" s="520"/>
      <c r="D69" s="520"/>
      <c r="E69" s="520"/>
      <c r="F69" s="176"/>
      <c r="G69" s="176"/>
      <c r="H69" s="176"/>
    </row>
    <row r="70" spans="1:8" ht="23.25">
      <c r="A70" s="518" t="s">
        <v>301</v>
      </c>
      <c r="B70" s="518"/>
      <c r="C70" s="518"/>
      <c r="D70" s="518"/>
      <c r="E70" s="518"/>
      <c r="F70" s="176"/>
      <c r="G70" s="176"/>
      <c r="H70" s="176"/>
    </row>
    <row r="71" spans="1:8" ht="23.25">
      <c r="A71" s="518" t="s">
        <v>338</v>
      </c>
      <c r="B71" s="518"/>
      <c r="C71" s="518"/>
      <c r="D71" s="518"/>
      <c r="E71" s="518"/>
      <c r="F71" s="176"/>
      <c r="G71" s="176"/>
      <c r="H71" s="176"/>
    </row>
    <row r="72" spans="1:8" ht="23.25">
      <c r="A72" s="515" t="s">
        <v>56</v>
      </c>
      <c r="B72" s="515"/>
      <c r="C72" s="515"/>
      <c r="D72" s="515"/>
      <c r="E72" s="515"/>
      <c r="F72" s="176"/>
      <c r="G72" s="176"/>
      <c r="H72" s="176"/>
    </row>
    <row r="73" spans="1:5" s="92" customFormat="1" ht="21">
      <c r="A73" s="183" t="s">
        <v>142</v>
      </c>
      <c r="B73" s="183" t="s">
        <v>25</v>
      </c>
      <c r="C73" s="183" t="s">
        <v>60</v>
      </c>
      <c r="D73" s="183" t="s">
        <v>61</v>
      </c>
      <c r="E73" s="199" t="s">
        <v>143</v>
      </c>
    </row>
    <row r="74" spans="1:5" ht="23.25">
      <c r="A74" s="177">
        <v>1</v>
      </c>
      <c r="B74" s="178" t="s">
        <v>137</v>
      </c>
      <c r="C74" s="179">
        <v>1780.93</v>
      </c>
      <c r="D74" s="179">
        <v>1062.7</v>
      </c>
      <c r="E74" s="435">
        <v>1062.7</v>
      </c>
    </row>
    <row r="75" spans="1:5" ht="23.25">
      <c r="A75" s="184">
        <v>2</v>
      </c>
      <c r="B75" s="185" t="s">
        <v>138</v>
      </c>
      <c r="C75" s="186">
        <v>0</v>
      </c>
      <c r="D75" s="186">
        <v>0</v>
      </c>
      <c r="E75" s="436">
        <v>60250</v>
      </c>
    </row>
    <row r="76" spans="1:5" ht="23.25">
      <c r="A76" s="184">
        <v>3</v>
      </c>
      <c r="B76" s="185" t="s">
        <v>139</v>
      </c>
      <c r="C76" s="186">
        <v>0</v>
      </c>
      <c r="D76" s="186">
        <v>2.34</v>
      </c>
      <c r="E76" s="436">
        <v>28.91</v>
      </c>
    </row>
    <row r="77" spans="1:5" ht="23.25">
      <c r="A77" s="184">
        <v>4</v>
      </c>
      <c r="B77" s="185" t="s">
        <v>290</v>
      </c>
      <c r="C77" s="186">
        <v>0</v>
      </c>
      <c r="D77" s="186">
        <v>2.81</v>
      </c>
      <c r="E77" s="436">
        <v>4433.77</v>
      </c>
    </row>
    <row r="78" spans="1:5" ht="23.25">
      <c r="A78" s="184">
        <v>5</v>
      </c>
      <c r="B78" s="185" t="s">
        <v>140</v>
      </c>
      <c r="C78" s="186">
        <v>0</v>
      </c>
      <c r="D78" s="186">
        <v>0</v>
      </c>
      <c r="E78" s="436">
        <v>873464.74</v>
      </c>
    </row>
    <row r="79" spans="1:5" ht="23.25">
      <c r="A79" s="180">
        <v>6</v>
      </c>
      <c r="B79" s="181" t="s">
        <v>141</v>
      </c>
      <c r="C79" s="182">
        <v>0</v>
      </c>
      <c r="D79" s="182">
        <v>0</v>
      </c>
      <c r="E79" s="437">
        <v>2250</v>
      </c>
    </row>
    <row r="80" spans="3:5" ht="21.75" thickBot="1">
      <c r="C80" s="466">
        <f>SUM(C74:C79)</f>
        <v>1780.93</v>
      </c>
      <c r="D80" s="466">
        <f>SUM(D74:D79)</f>
        <v>1067.85</v>
      </c>
      <c r="E80" s="467">
        <f>SUM(E74:E79)</f>
        <v>941490.12</v>
      </c>
    </row>
    <row r="81" spans="3:5" ht="21.75" thickTop="1">
      <c r="C81" s="187"/>
      <c r="D81" s="187"/>
      <c r="E81" s="444"/>
    </row>
    <row r="82" spans="3:5" ht="21">
      <c r="C82" s="187"/>
      <c r="D82" s="187"/>
      <c r="E82" s="444"/>
    </row>
    <row r="83" spans="3:5" ht="21">
      <c r="C83" s="187"/>
      <c r="D83" s="187"/>
      <c r="E83" s="444"/>
    </row>
    <row r="84" spans="3:5" ht="21">
      <c r="C84" s="187"/>
      <c r="D84" s="187"/>
      <c r="E84" s="444"/>
    </row>
    <row r="85" spans="3:5" ht="21">
      <c r="C85" s="187"/>
      <c r="D85" s="187"/>
      <c r="E85" s="444"/>
    </row>
    <row r="86" spans="3:5" ht="21">
      <c r="C86" s="187"/>
      <c r="D86" s="187"/>
      <c r="E86" s="444"/>
    </row>
    <row r="87" spans="2:5" ht="23.25">
      <c r="B87" s="77"/>
      <c r="C87" s="110" t="s">
        <v>97</v>
      </c>
      <c r="D87" s="77"/>
      <c r="E87" s="444"/>
    </row>
    <row r="88" spans="2:5" ht="23.25">
      <c r="B88" s="77"/>
      <c r="C88" s="77"/>
      <c r="D88" s="77"/>
      <c r="E88" s="444"/>
    </row>
    <row r="89" spans="2:4" ht="23.25">
      <c r="B89" s="77"/>
      <c r="C89" s="110" t="s">
        <v>269</v>
      </c>
      <c r="D89" s="77"/>
    </row>
    <row r="90" spans="2:4" ht="23.25">
      <c r="B90" s="77"/>
      <c r="C90" s="110" t="s">
        <v>96</v>
      </c>
      <c r="D90" s="77"/>
    </row>
    <row r="91" spans="2:4" ht="23.25">
      <c r="B91" s="77"/>
      <c r="C91" s="110"/>
      <c r="D91" s="77"/>
    </row>
    <row r="92" spans="2:4" ht="23.25">
      <c r="B92" s="77"/>
      <c r="C92" s="110"/>
      <c r="D92" s="77"/>
    </row>
    <row r="93" spans="2:4" ht="23.25">
      <c r="B93" s="77"/>
      <c r="C93" s="110"/>
      <c r="D93" s="77"/>
    </row>
    <row r="94" spans="2:4" ht="23.25">
      <c r="B94" s="77"/>
      <c r="C94" s="110"/>
      <c r="D94" s="77"/>
    </row>
    <row r="95" spans="2:4" ht="23.25">
      <c r="B95" s="77"/>
      <c r="C95" s="110"/>
      <c r="D95" s="77"/>
    </row>
    <row r="96" spans="2:4" ht="23.25">
      <c r="B96" s="77"/>
      <c r="C96" s="110"/>
      <c r="D96" s="77"/>
    </row>
    <row r="97" spans="2:4" ht="23.25">
      <c r="B97" s="77"/>
      <c r="C97" s="110"/>
      <c r="D97" s="77"/>
    </row>
    <row r="98" spans="2:4" ht="23.25">
      <c r="B98" s="77"/>
      <c r="C98" s="110"/>
      <c r="D98" s="77"/>
    </row>
    <row r="99" spans="2:4" ht="23.25">
      <c r="B99" s="77"/>
      <c r="C99" s="110"/>
      <c r="D99" s="77"/>
    </row>
    <row r="100" spans="2:4" ht="23.25">
      <c r="B100" s="77"/>
      <c r="C100" s="110"/>
      <c r="D100" s="77"/>
    </row>
    <row r="101" spans="1:8" ht="23.25">
      <c r="A101" s="520" t="s">
        <v>119</v>
      </c>
      <c r="B101" s="520"/>
      <c r="C101" s="520"/>
      <c r="D101" s="520"/>
      <c r="E101" s="520"/>
      <c r="F101" s="176"/>
      <c r="G101" s="176"/>
      <c r="H101" s="176"/>
    </row>
    <row r="102" spans="1:8" ht="23.25">
      <c r="A102" s="518" t="s">
        <v>301</v>
      </c>
      <c r="B102" s="518"/>
      <c r="C102" s="518"/>
      <c r="D102" s="518"/>
      <c r="E102" s="518"/>
      <c r="F102" s="176"/>
      <c r="G102" s="176"/>
      <c r="H102" s="176"/>
    </row>
    <row r="103" spans="1:8" ht="23.25">
      <c r="A103" s="518" t="s">
        <v>340</v>
      </c>
      <c r="B103" s="518"/>
      <c r="C103" s="518"/>
      <c r="D103" s="518"/>
      <c r="E103" s="518"/>
      <c r="F103" s="176"/>
      <c r="G103" s="176"/>
      <c r="H103" s="176"/>
    </row>
    <row r="104" spans="1:8" ht="23.25">
      <c r="A104" s="518" t="s">
        <v>145</v>
      </c>
      <c r="B104" s="518"/>
      <c r="C104" s="518"/>
      <c r="D104" s="518"/>
      <c r="E104" s="518"/>
      <c r="F104" s="176"/>
      <c r="G104" s="176"/>
      <c r="H104" s="176"/>
    </row>
    <row r="105" spans="1:5" ht="21">
      <c r="A105" s="183" t="s">
        <v>215</v>
      </c>
      <c r="B105" s="183" t="s">
        <v>25</v>
      </c>
      <c r="C105" s="183" t="s">
        <v>60</v>
      </c>
      <c r="D105" s="183" t="s">
        <v>61</v>
      </c>
      <c r="E105" s="199" t="s">
        <v>143</v>
      </c>
    </row>
    <row r="106" spans="1:5" ht="23.25">
      <c r="A106" s="235">
        <v>1</v>
      </c>
      <c r="B106" s="385" t="s">
        <v>309</v>
      </c>
      <c r="C106" s="236">
        <v>0</v>
      </c>
      <c r="D106" s="236">
        <v>0</v>
      </c>
      <c r="E106" s="432">
        <v>0</v>
      </c>
    </row>
    <row r="107" spans="1:5" ht="23.25">
      <c r="A107" s="464">
        <v>2</v>
      </c>
      <c r="B107" s="455" t="s">
        <v>308</v>
      </c>
      <c r="C107" s="456">
        <v>0</v>
      </c>
      <c r="D107" s="456">
        <v>0</v>
      </c>
      <c r="E107" s="465">
        <v>0</v>
      </c>
    </row>
    <row r="108" spans="1:5" ht="23.25">
      <c r="A108" s="464">
        <v>3</v>
      </c>
      <c r="B108" s="455" t="s">
        <v>160</v>
      </c>
      <c r="C108" s="456">
        <v>0</v>
      </c>
      <c r="D108" s="456">
        <v>0</v>
      </c>
      <c r="E108" s="465">
        <v>28448</v>
      </c>
    </row>
    <row r="109" spans="1:5" ht="23.25">
      <c r="A109" s="177"/>
      <c r="B109" s="237"/>
      <c r="C109" s="238"/>
      <c r="D109" s="238"/>
      <c r="E109" s="433"/>
    </row>
    <row r="110" spans="1:5" ht="24" thickBot="1">
      <c r="A110" s="232"/>
      <c r="B110" s="233"/>
      <c r="C110" s="234">
        <f>SUM(C106:C109)</f>
        <v>0</v>
      </c>
      <c r="D110" s="234">
        <f>SUM(D106:D109)</f>
        <v>0</v>
      </c>
      <c r="E110" s="434">
        <f>SUM(E106:E109)</f>
        <v>28448</v>
      </c>
    </row>
    <row r="111" spans="1:2" ht="24" thickTop="1">
      <c r="A111" s="92"/>
      <c r="B111" s="77"/>
    </row>
    <row r="112" spans="1:2" ht="23.25">
      <c r="A112" s="92"/>
      <c r="B112" s="77"/>
    </row>
    <row r="126" spans="2:4" ht="23.25">
      <c r="B126" s="77"/>
      <c r="C126" s="110" t="s">
        <v>97</v>
      </c>
      <c r="D126" s="77"/>
    </row>
    <row r="127" spans="2:4" ht="23.25">
      <c r="B127" s="77"/>
      <c r="C127" s="77"/>
      <c r="D127" s="77"/>
    </row>
    <row r="128" spans="2:4" ht="23.25">
      <c r="B128" s="77"/>
      <c r="C128" s="110" t="s">
        <v>269</v>
      </c>
      <c r="D128" s="77"/>
    </row>
    <row r="129" spans="2:4" ht="23.25">
      <c r="B129" s="77"/>
      <c r="C129" s="110" t="s">
        <v>96</v>
      </c>
      <c r="D129" s="77"/>
    </row>
  </sheetData>
  <sheetProtection/>
  <mergeCells count="13">
    <mergeCell ref="A1:E1"/>
    <mergeCell ref="A2:E2"/>
    <mergeCell ref="A3:E3"/>
    <mergeCell ref="A4:E4"/>
    <mergeCell ref="A72:E72"/>
    <mergeCell ref="A101:E101"/>
    <mergeCell ref="A102:E102"/>
    <mergeCell ref="A103:E103"/>
    <mergeCell ref="A104:E104"/>
    <mergeCell ref="A35:E35"/>
    <mergeCell ref="A69:E69"/>
    <mergeCell ref="A70:E70"/>
    <mergeCell ref="A71:E71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21.75"/>
  <cols>
    <col min="1" max="1" width="4.140625" style="110" customWidth="1"/>
    <col min="2" max="2" width="41.00390625" style="77" bestFit="1" customWidth="1"/>
    <col min="3" max="3" width="12.7109375" style="116" bestFit="1" customWidth="1"/>
    <col min="4" max="4" width="13.8515625" style="116" bestFit="1" customWidth="1"/>
    <col min="5" max="5" width="13.7109375" style="116" customWidth="1"/>
    <col min="6" max="6" width="14.140625" style="116" customWidth="1"/>
    <col min="7" max="7" width="13.421875" style="116" customWidth="1"/>
    <col min="8" max="16384" width="9.140625" style="77" customWidth="1"/>
  </cols>
  <sheetData>
    <row r="1" spans="1:7" ht="23.25">
      <c r="A1" s="520" t="s">
        <v>330</v>
      </c>
      <c r="B1" s="520"/>
      <c r="C1" s="520"/>
      <c r="D1" s="520"/>
      <c r="E1" s="520"/>
      <c r="F1" s="520"/>
      <c r="G1" s="520"/>
    </row>
    <row r="2" spans="1:7" ht="23.25">
      <c r="A2" s="518" t="s">
        <v>144</v>
      </c>
      <c r="B2" s="518"/>
      <c r="C2" s="518"/>
      <c r="D2" s="518"/>
      <c r="E2" s="518"/>
      <c r="F2" s="518"/>
      <c r="G2" s="518"/>
    </row>
    <row r="3" spans="1:7" ht="23.25">
      <c r="A3" s="518" t="s">
        <v>341</v>
      </c>
      <c r="B3" s="518"/>
      <c r="C3" s="518"/>
      <c r="D3" s="518"/>
      <c r="E3" s="518"/>
      <c r="F3" s="518"/>
      <c r="G3" s="518"/>
    </row>
    <row r="4" spans="1:7" ht="23.25">
      <c r="A4" s="518" t="s">
        <v>274</v>
      </c>
      <c r="B4" s="518"/>
      <c r="C4" s="518"/>
      <c r="D4" s="518"/>
      <c r="E4" s="518"/>
      <c r="F4" s="518"/>
      <c r="G4" s="518"/>
    </row>
    <row r="5" spans="1:7" ht="23.25">
      <c r="A5" s="90"/>
      <c r="B5" s="90"/>
      <c r="C5" s="203"/>
      <c r="D5" s="203"/>
      <c r="E5" s="203"/>
      <c r="F5" s="203"/>
      <c r="G5" s="203"/>
    </row>
    <row r="6" spans="1:7" s="90" customFormat="1" ht="23.25">
      <c r="A6" s="525" t="s">
        <v>142</v>
      </c>
      <c r="B6" s="525" t="s">
        <v>25</v>
      </c>
      <c r="C6" s="524" t="s">
        <v>181</v>
      </c>
      <c r="D6" s="524"/>
      <c r="E6" s="524" t="s">
        <v>42</v>
      </c>
      <c r="F6" s="524"/>
      <c r="G6" s="521" t="s">
        <v>143</v>
      </c>
    </row>
    <row r="7" spans="1:7" s="90" customFormat="1" ht="23.25">
      <c r="A7" s="525"/>
      <c r="B7" s="525"/>
      <c r="C7" s="453" t="s">
        <v>22</v>
      </c>
      <c r="D7" s="453" t="s">
        <v>146</v>
      </c>
      <c r="E7" s="453" t="s">
        <v>22</v>
      </c>
      <c r="F7" s="453" t="s">
        <v>146</v>
      </c>
      <c r="G7" s="521"/>
    </row>
    <row r="8" spans="1:7" ht="23.25">
      <c r="A8" s="101">
        <v>1</v>
      </c>
      <c r="B8" s="237" t="s">
        <v>325</v>
      </c>
      <c r="C8" s="238">
        <v>0</v>
      </c>
      <c r="D8" s="238">
        <f>129000+128000</f>
        <v>257000</v>
      </c>
      <c r="E8" s="238">
        <v>64000</v>
      </c>
      <c r="F8" s="238">
        <f>10000+119000+64000+64000</f>
        <v>257000</v>
      </c>
      <c r="G8" s="238">
        <f aca="true" t="shared" si="0" ref="G8:G14">D8-F8</f>
        <v>0</v>
      </c>
    </row>
    <row r="9" spans="1:7" ht="23.25">
      <c r="A9" s="454">
        <v>2</v>
      </c>
      <c r="B9" s="455" t="s">
        <v>326</v>
      </c>
      <c r="C9" s="456">
        <v>0</v>
      </c>
      <c r="D9" s="456">
        <f>1375500+169400+338800</f>
        <v>1883700</v>
      </c>
      <c r="E9" s="456">
        <v>507500</v>
      </c>
      <c r="F9" s="456">
        <f>60000+1315500+507500</f>
        <v>1883000</v>
      </c>
      <c r="G9" s="456">
        <f t="shared" si="0"/>
        <v>700</v>
      </c>
    </row>
    <row r="10" spans="1:7" ht="23.25">
      <c r="A10" s="454">
        <v>3</v>
      </c>
      <c r="B10" s="455" t="s">
        <v>336</v>
      </c>
      <c r="C10" s="456">
        <v>0</v>
      </c>
      <c r="D10" s="456">
        <v>263466</v>
      </c>
      <c r="E10" s="456">
        <v>12546</v>
      </c>
      <c r="F10" s="456">
        <f>250920+12546</f>
        <v>263466</v>
      </c>
      <c r="G10" s="456">
        <f t="shared" si="0"/>
        <v>0</v>
      </c>
    </row>
    <row r="11" spans="1:7" ht="23.25">
      <c r="A11" s="454"/>
      <c r="B11" s="455"/>
      <c r="C11" s="456">
        <v>0</v>
      </c>
      <c r="D11" s="456">
        <v>0</v>
      </c>
      <c r="E11" s="456">
        <v>0</v>
      </c>
      <c r="F11" s="456">
        <v>0</v>
      </c>
      <c r="G11" s="456">
        <f t="shared" si="0"/>
        <v>0</v>
      </c>
    </row>
    <row r="12" spans="1:7" ht="23.25">
      <c r="A12" s="454"/>
      <c r="B12" s="455"/>
      <c r="C12" s="456">
        <v>0</v>
      </c>
      <c r="D12" s="456">
        <v>0</v>
      </c>
      <c r="E12" s="456">
        <v>0</v>
      </c>
      <c r="F12" s="456">
        <v>0</v>
      </c>
      <c r="G12" s="456">
        <f t="shared" si="0"/>
        <v>0</v>
      </c>
    </row>
    <row r="13" spans="1:7" ht="23.25">
      <c r="A13" s="454"/>
      <c r="B13" s="455"/>
      <c r="C13" s="456">
        <v>0</v>
      </c>
      <c r="D13" s="456">
        <v>0</v>
      </c>
      <c r="E13" s="456">
        <v>0</v>
      </c>
      <c r="F13" s="456">
        <v>0</v>
      </c>
      <c r="G13" s="456">
        <f t="shared" si="0"/>
        <v>0</v>
      </c>
    </row>
    <row r="14" spans="1:7" ht="23.25">
      <c r="A14" s="454"/>
      <c r="B14" s="455"/>
      <c r="C14" s="456">
        <v>0</v>
      </c>
      <c r="D14" s="456">
        <v>0</v>
      </c>
      <c r="E14" s="456">
        <v>0</v>
      </c>
      <c r="F14" s="456">
        <v>0</v>
      </c>
      <c r="G14" s="456">
        <f t="shared" si="0"/>
        <v>0</v>
      </c>
    </row>
    <row r="15" spans="1:7" ht="23.25">
      <c r="A15" s="101"/>
      <c r="B15" s="237"/>
      <c r="C15" s="238"/>
      <c r="D15" s="238"/>
      <c r="E15" s="238"/>
      <c r="F15" s="238"/>
      <c r="G15" s="238"/>
    </row>
    <row r="16" spans="1:7" ht="23.25">
      <c r="A16" s="522" t="s">
        <v>15</v>
      </c>
      <c r="B16" s="523"/>
      <c r="C16" s="457">
        <f>SUM(C8:C15)</f>
        <v>0</v>
      </c>
      <c r="D16" s="457">
        <f>SUM(D8:D15)</f>
        <v>2404166</v>
      </c>
      <c r="E16" s="457">
        <f>SUM(E8:E15)</f>
        <v>584046</v>
      </c>
      <c r="F16" s="457">
        <f>SUM(F8:F15)</f>
        <v>2403466</v>
      </c>
      <c r="G16" s="457">
        <f>SUM(G8:G15)</f>
        <v>700</v>
      </c>
    </row>
    <row r="25" ht="23.25">
      <c r="E25" s="110" t="s">
        <v>97</v>
      </c>
    </row>
    <row r="26" ht="23.25">
      <c r="E26" s="77"/>
    </row>
    <row r="27" ht="23.25">
      <c r="E27" s="110" t="s">
        <v>269</v>
      </c>
    </row>
    <row r="28" ht="23.25">
      <c r="E28" s="110" t="s">
        <v>96</v>
      </c>
    </row>
  </sheetData>
  <sheetProtection/>
  <mergeCells count="10">
    <mergeCell ref="A1:G1"/>
    <mergeCell ref="A2:G2"/>
    <mergeCell ref="A3:G3"/>
    <mergeCell ref="A4:G4"/>
    <mergeCell ref="G6:G7"/>
    <mergeCell ref="A16:B16"/>
    <mergeCell ref="C6:D6"/>
    <mergeCell ref="E6:F6"/>
    <mergeCell ref="A6:A7"/>
    <mergeCell ref="B6:B7"/>
  </mergeCells>
  <printOptions/>
  <pageMargins left="0.5" right="0.2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6">
      <selection activeCell="C32" sqref="C32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6.421875" style="77" customWidth="1"/>
    <col min="8" max="8" width="15.421875" style="116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518" t="s">
        <v>179</v>
      </c>
      <c r="B1" s="518"/>
      <c r="C1" s="518"/>
      <c r="D1" s="518"/>
      <c r="E1" s="518"/>
      <c r="F1" s="518"/>
      <c r="G1" s="518"/>
      <c r="H1" s="518"/>
      <c r="I1" s="518"/>
    </row>
    <row r="2" spans="1:9" ht="23.25">
      <c r="A2" s="518" t="s">
        <v>180</v>
      </c>
      <c r="B2" s="518"/>
      <c r="C2" s="518"/>
      <c r="D2" s="518"/>
      <c r="E2" s="518"/>
      <c r="F2" s="518"/>
      <c r="G2" s="518"/>
      <c r="H2" s="518"/>
      <c r="I2" s="518"/>
    </row>
    <row r="3" spans="1:9" ht="23.25">
      <c r="A3" s="518" t="s">
        <v>342</v>
      </c>
      <c r="B3" s="518"/>
      <c r="C3" s="518"/>
      <c r="D3" s="518"/>
      <c r="E3" s="518"/>
      <c r="F3" s="518"/>
      <c r="G3" s="518"/>
      <c r="H3" s="518"/>
      <c r="I3" s="518"/>
    </row>
    <row r="4" spans="1:9" ht="23.25">
      <c r="A4" s="90"/>
      <c r="B4" s="90"/>
      <c r="C4" s="90"/>
      <c r="D4" s="90"/>
      <c r="E4" s="90"/>
      <c r="F4" s="90" t="s">
        <v>22</v>
      </c>
      <c r="G4" s="90"/>
      <c r="H4" s="90" t="s">
        <v>146</v>
      </c>
      <c r="I4" s="90"/>
    </row>
    <row r="5" ht="23.25">
      <c r="A5" s="93" t="s">
        <v>181</v>
      </c>
    </row>
    <row r="6" spans="2:9" ht="23.25">
      <c r="B6" s="77" t="s">
        <v>182</v>
      </c>
      <c r="F6" s="116">
        <v>870982.74</v>
      </c>
      <c r="G6" s="116"/>
      <c r="H6" s="116">
        <f>1647356.89+765380.21+1507487.08+407544.87+870982.74</f>
        <v>5198751.79</v>
      </c>
      <c r="I6" s="204" t="s">
        <v>27</v>
      </c>
    </row>
    <row r="7" spans="2:9" ht="23.25">
      <c r="B7" s="77" t="s">
        <v>193</v>
      </c>
      <c r="F7" s="116">
        <v>0</v>
      </c>
      <c r="G7" s="116"/>
      <c r="H7" s="116">
        <f>1504500+169400+730266</f>
        <v>2404166</v>
      </c>
      <c r="I7" s="204" t="s">
        <v>27</v>
      </c>
    </row>
    <row r="8" spans="2:9" ht="23.25">
      <c r="B8" s="77" t="s">
        <v>183</v>
      </c>
      <c r="F8" s="116">
        <v>1067.85</v>
      </c>
      <c r="G8" s="116"/>
      <c r="H8" s="116">
        <f>724.16+116683.53+12682.25+1839.38+1067.85</f>
        <v>132997.17</v>
      </c>
      <c r="I8" s="204" t="s">
        <v>27</v>
      </c>
    </row>
    <row r="9" spans="2:9" ht="23.25">
      <c r="B9" s="77" t="s">
        <v>207</v>
      </c>
      <c r="F9" s="116">
        <v>0</v>
      </c>
      <c r="G9" s="116"/>
      <c r="H9" s="116">
        <v>0</v>
      </c>
      <c r="I9" s="204" t="s">
        <v>27</v>
      </c>
    </row>
    <row r="10" spans="2:9" ht="23.25">
      <c r="B10" s="77" t="s">
        <v>265</v>
      </c>
      <c r="F10" s="116">
        <v>0</v>
      </c>
      <c r="G10" s="116"/>
      <c r="H10" s="116">
        <v>0</v>
      </c>
      <c r="I10" s="204" t="s">
        <v>27</v>
      </c>
    </row>
    <row r="11" spans="2:9" ht="23.25">
      <c r="B11" s="77" t="s">
        <v>208</v>
      </c>
      <c r="F11" s="116">
        <v>0</v>
      </c>
      <c r="G11" s="116"/>
      <c r="H11" s="116">
        <v>1000</v>
      </c>
      <c r="I11" s="204" t="s">
        <v>27</v>
      </c>
    </row>
    <row r="12" spans="2:9" ht="23.25">
      <c r="B12" s="77" t="s">
        <v>266</v>
      </c>
      <c r="F12" s="116">
        <v>0</v>
      </c>
      <c r="G12" s="116"/>
      <c r="H12" s="116">
        <v>0</v>
      </c>
      <c r="I12" s="204" t="s">
        <v>27</v>
      </c>
    </row>
    <row r="13" spans="2:9" ht="23.25">
      <c r="B13" s="77" t="s">
        <v>275</v>
      </c>
      <c r="F13" s="116">
        <v>0</v>
      </c>
      <c r="G13" s="116"/>
      <c r="H13" s="116">
        <v>0</v>
      </c>
      <c r="I13" s="204" t="s">
        <v>27</v>
      </c>
    </row>
    <row r="14" spans="2:9" ht="23.25">
      <c r="B14" s="77" t="s">
        <v>184</v>
      </c>
      <c r="F14" s="116">
        <v>0</v>
      </c>
      <c r="G14" s="116"/>
      <c r="H14" s="116">
        <v>0</v>
      </c>
      <c r="I14" s="204" t="s">
        <v>27</v>
      </c>
    </row>
    <row r="15" spans="2:9" ht="23.25">
      <c r="B15" s="77" t="s">
        <v>185</v>
      </c>
      <c r="F15" s="116">
        <v>0</v>
      </c>
      <c r="G15" s="116"/>
      <c r="H15" s="116">
        <v>0</v>
      </c>
      <c r="I15" s="204" t="s">
        <v>27</v>
      </c>
    </row>
    <row r="16" spans="5:9" ht="23.25">
      <c r="E16" s="77" t="s">
        <v>186</v>
      </c>
      <c r="F16" s="205">
        <f>SUM(F6:F15)</f>
        <v>872050.59</v>
      </c>
      <c r="G16" s="122"/>
      <c r="H16" s="205">
        <f>SUM(H6:H15)</f>
        <v>7736914.96</v>
      </c>
      <c r="I16" s="204" t="s">
        <v>27</v>
      </c>
    </row>
    <row r="17" spans="1:7" ht="23.25">
      <c r="A17" s="93" t="s">
        <v>42</v>
      </c>
      <c r="F17" s="116"/>
      <c r="G17" s="116"/>
    </row>
    <row r="18" spans="2:9" ht="23.25">
      <c r="B18" s="77" t="s">
        <v>187</v>
      </c>
      <c r="F18" s="116">
        <v>781756.38</v>
      </c>
      <c r="G18" s="116"/>
      <c r="H18" s="116">
        <f>773942.24+1439725.57+871835.79+812538.04+781756.38</f>
        <v>4679798.0200000005</v>
      </c>
      <c r="I18" s="204" t="s">
        <v>27</v>
      </c>
    </row>
    <row r="19" spans="2:9" ht="23.25">
      <c r="B19" s="77" t="s">
        <v>194</v>
      </c>
      <c r="F19" s="116">
        <v>52046</v>
      </c>
      <c r="G19" s="116"/>
      <c r="H19" s="116">
        <f>70000+32000+52046</f>
        <v>154046</v>
      </c>
      <c r="I19" s="204" t="s">
        <v>27</v>
      </c>
    </row>
    <row r="20" spans="2:9" ht="23.25">
      <c r="B20" s="77" t="s">
        <v>188</v>
      </c>
      <c r="F20" s="116">
        <v>0</v>
      </c>
      <c r="G20" s="116"/>
      <c r="H20" s="116">
        <v>912281</v>
      </c>
      <c r="I20" s="204" t="s">
        <v>27</v>
      </c>
    </row>
    <row r="21" spans="2:9" ht="23.25">
      <c r="B21" s="77" t="s">
        <v>231</v>
      </c>
      <c r="F21" s="116">
        <v>0</v>
      </c>
      <c r="G21" s="116"/>
      <c r="H21" s="116">
        <f>156660+510130+224440+67345</f>
        <v>958575</v>
      </c>
      <c r="I21" s="204" t="s">
        <v>27</v>
      </c>
    </row>
    <row r="22" spans="2:9" ht="23.25">
      <c r="B22" s="77" t="s">
        <v>189</v>
      </c>
      <c r="F22" s="116">
        <v>1780.93</v>
      </c>
      <c r="G22" s="116"/>
      <c r="H22" s="116">
        <f>3420.86+9659.05+15091.53+11402.66+1780.93</f>
        <v>41355.030000000006</v>
      </c>
      <c r="I22" s="204" t="s">
        <v>27</v>
      </c>
    </row>
    <row r="23" spans="2:9" ht="23.25">
      <c r="B23" s="77" t="s">
        <v>209</v>
      </c>
      <c r="F23" s="116">
        <v>87954</v>
      </c>
      <c r="G23" s="116"/>
      <c r="H23" s="116">
        <f>28500+1500+11200+87954</f>
        <v>129154</v>
      </c>
      <c r="I23" s="204" t="s">
        <v>27</v>
      </c>
    </row>
    <row r="24" spans="2:9" ht="23.25">
      <c r="B24" s="77" t="s">
        <v>242</v>
      </c>
      <c r="F24" s="116">
        <v>0</v>
      </c>
      <c r="G24" s="116"/>
      <c r="H24" s="116">
        <v>58500</v>
      </c>
      <c r="I24" s="204" t="s">
        <v>27</v>
      </c>
    </row>
    <row r="25" spans="2:9" ht="23.25">
      <c r="B25" s="77" t="s">
        <v>210</v>
      </c>
      <c r="F25" s="116">
        <v>532000</v>
      </c>
      <c r="G25" s="116"/>
      <c r="H25" s="116">
        <f>976000+427500+532000</f>
        <v>1935500</v>
      </c>
      <c r="I25" s="204" t="s">
        <v>27</v>
      </c>
    </row>
    <row r="26" spans="2:9" ht="23.25">
      <c r="B26" s="77" t="s">
        <v>217</v>
      </c>
      <c r="F26" s="116">
        <v>0</v>
      </c>
      <c r="G26" s="116"/>
      <c r="H26" s="116">
        <v>17000</v>
      </c>
      <c r="I26" s="204" t="s">
        <v>27</v>
      </c>
    </row>
    <row r="27" spans="2:9" ht="23.25">
      <c r="B27" s="77" t="s">
        <v>190</v>
      </c>
      <c r="F27" s="116">
        <v>0</v>
      </c>
      <c r="G27" s="116"/>
      <c r="H27" s="116">
        <f>98773.8+1189000</f>
        <v>1287773.8</v>
      </c>
      <c r="I27" s="204" t="s">
        <v>27</v>
      </c>
    </row>
    <row r="28" spans="2:9" ht="23.25">
      <c r="B28" s="77" t="s">
        <v>191</v>
      </c>
      <c r="F28" s="116">
        <v>0</v>
      </c>
      <c r="G28" s="116"/>
      <c r="H28" s="116">
        <v>0</v>
      </c>
      <c r="I28" s="204" t="s">
        <v>27</v>
      </c>
    </row>
    <row r="29" spans="5:9" ht="23.25">
      <c r="E29" s="77" t="s">
        <v>186</v>
      </c>
      <c r="F29" s="205">
        <f>SUM(F18:F28)</f>
        <v>1455537.31</v>
      </c>
      <c r="G29" s="116"/>
      <c r="H29" s="205">
        <f>SUM(H18:H28)</f>
        <v>10173982.850000001</v>
      </c>
      <c r="I29" s="204" t="s">
        <v>27</v>
      </c>
    </row>
    <row r="30" spans="2:9" ht="24" thickBot="1">
      <c r="B30" s="77" t="s">
        <v>192</v>
      </c>
      <c r="F30" s="399">
        <f>F16-F29</f>
        <v>-583486.7200000001</v>
      </c>
      <c r="G30" s="116"/>
      <c r="H30" s="399">
        <f>H16-H29</f>
        <v>-2437067.8900000015</v>
      </c>
      <c r="I30" s="204" t="s">
        <v>27</v>
      </c>
    </row>
    <row r="31" spans="6:9" ht="24" thickTop="1">
      <c r="F31" s="400"/>
      <c r="G31" s="116"/>
      <c r="H31" s="400"/>
      <c r="I31" s="204"/>
    </row>
    <row r="32" spans="6:9" ht="23.25">
      <c r="F32" s="116"/>
      <c r="G32" s="116"/>
      <c r="H32" s="122"/>
      <c r="I32" s="204"/>
    </row>
    <row r="33" spans="1:10" s="206" customFormat="1" ht="21.75">
      <c r="A33" s="526" t="s">
        <v>258</v>
      </c>
      <c r="B33" s="526"/>
      <c r="C33" s="526"/>
      <c r="D33" s="526"/>
      <c r="E33" s="526" t="s">
        <v>256</v>
      </c>
      <c r="F33" s="526"/>
      <c r="G33" s="526" t="s">
        <v>257</v>
      </c>
      <c r="H33" s="526"/>
      <c r="I33" s="526"/>
      <c r="J33" s="526"/>
    </row>
    <row r="34" spans="1:10" s="206" customFormat="1" ht="21.75">
      <c r="A34" s="526" t="s">
        <v>269</v>
      </c>
      <c r="B34" s="526"/>
      <c r="C34" s="526"/>
      <c r="D34" s="526"/>
      <c r="E34" s="526" t="s">
        <v>259</v>
      </c>
      <c r="F34" s="526"/>
      <c r="G34" s="526" t="s">
        <v>260</v>
      </c>
      <c r="H34" s="526"/>
      <c r="I34" s="526"/>
      <c r="J34" s="526"/>
    </row>
    <row r="35" spans="1:10" s="206" customFormat="1" ht="21.75">
      <c r="A35" s="526" t="s">
        <v>96</v>
      </c>
      <c r="B35" s="526"/>
      <c r="C35" s="526"/>
      <c r="D35" s="526"/>
      <c r="E35" s="526" t="s">
        <v>253</v>
      </c>
      <c r="F35" s="526"/>
      <c r="G35" s="526" t="s">
        <v>255</v>
      </c>
      <c r="H35" s="526"/>
      <c r="I35" s="526"/>
      <c r="J35" s="526"/>
    </row>
    <row r="36" spans="1:10" s="206" customFormat="1" ht="21.75">
      <c r="A36" s="526"/>
      <c r="B36" s="526"/>
      <c r="C36" s="526"/>
      <c r="D36" s="526"/>
      <c r="E36" s="207"/>
      <c r="F36" s="207"/>
      <c r="G36" s="207"/>
      <c r="H36" s="207"/>
      <c r="I36" s="207"/>
      <c r="J36" s="207"/>
    </row>
  </sheetData>
  <sheetProtection/>
  <mergeCells count="13">
    <mergeCell ref="G35:J35"/>
    <mergeCell ref="A36:D36"/>
    <mergeCell ref="E33:F33"/>
    <mergeCell ref="E34:F34"/>
    <mergeCell ref="E35:F35"/>
    <mergeCell ref="A34:D34"/>
    <mergeCell ref="A35:D35"/>
    <mergeCell ref="A1:I1"/>
    <mergeCell ref="A2:I2"/>
    <mergeCell ref="A3:I3"/>
    <mergeCell ref="A33:D33"/>
    <mergeCell ref="G33:J33"/>
    <mergeCell ref="G34:J34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21.75"/>
  <cols>
    <col min="1" max="1" width="12.8515625" style="127" customWidth="1"/>
    <col min="2" max="2" width="9.140625" style="127" customWidth="1"/>
    <col min="3" max="3" width="5.421875" style="127" customWidth="1"/>
    <col min="4" max="4" width="11.140625" style="127" customWidth="1"/>
    <col min="5" max="5" width="9.140625" style="127" customWidth="1"/>
    <col min="6" max="6" width="6.7109375" style="127" customWidth="1"/>
    <col min="7" max="7" width="13.140625" style="127" bestFit="1" customWidth="1"/>
    <col min="8" max="8" width="8.00390625" style="127" customWidth="1"/>
    <col min="9" max="9" width="17.28125" style="127" hidden="1" customWidth="1"/>
    <col min="10" max="10" width="14.28125" style="127" hidden="1" customWidth="1"/>
    <col min="11" max="11" width="10.7109375" style="127" hidden="1" customWidth="1"/>
    <col min="12" max="12" width="12.57421875" style="127" customWidth="1"/>
    <col min="13" max="13" width="5.7109375" style="127" customWidth="1"/>
    <col min="14" max="14" width="7.28125" style="127" customWidth="1"/>
    <col min="15" max="15" width="9.140625" style="127" hidden="1" customWidth="1"/>
    <col min="16" max="16" width="4.8515625" style="127" customWidth="1"/>
    <col min="17" max="17" width="10.421875" style="127" bestFit="1" customWidth="1"/>
    <col min="18" max="16384" width="9.140625" style="127" customWidth="1"/>
  </cols>
  <sheetData>
    <row r="1" spans="1:5" ht="21.75">
      <c r="A1" s="477" t="s">
        <v>0</v>
      </c>
      <c r="B1" s="477"/>
      <c r="C1" s="477"/>
      <c r="E1" s="478"/>
    </row>
    <row r="2" spans="5:6" ht="21.75">
      <c r="E2" s="478"/>
      <c r="F2" s="127" t="s">
        <v>313</v>
      </c>
    </row>
    <row r="3" spans="1:5" ht="21.75">
      <c r="A3" s="477" t="s">
        <v>314</v>
      </c>
      <c r="E3" s="478"/>
    </row>
    <row r="4" spans="5:9" ht="21.75">
      <c r="E4" s="478"/>
      <c r="F4" s="127" t="s">
        <v>315</v>
      </c>
      <c r="I4" s="479"/>
    </row>
    <row r="5" spans="1:13" ht="21.75">
      <c r="A5" s="480"/>
      <c r="B5" s="480"/>
      <c r="C5" s="480"/>
      <c r="D5" s="480"/>
      <c r="E5" s="481"/>
      <c r="F5" s="480"/>
      <c r="G5" s="480"/>
      <c r="H5" s="480"/>
      <c r="I5" s="480"/>
      <c r="J5" s="480"/>
      <c r="L5" s="529" t="s">
        <v>3</v>
      </c>
      <c r="M5" s="529"/>
    </row>
    <row r="6" spans="1:13" ht="21.75">
      <c r="A6" s="477" t="s">
        <v>343</v>
      </c>
      <c r="B6" s="477"/>
      <c r="C6" s="477"/>
      <c r="D6" s="477"/>
      <c r="E6" s="477"/>
      <c r="F6" s="477"/>
      <c r="I6" s="527" t="s">
        <v>2</v>
      </c>
      <c r="J6" s="528"/>
      <c r="L6" s="534">
        <v>4542988.18</v>
      </c>
      <c r="M6" s="535"/>
    </row>
    <row r="7" spans="1:12" ht="21.75">
      <c r="A7" s="477" t="s">
        <v>4</v>
      </c>
      <c r="H7" s="478"/>
      <c r="I7" s="225"/>
      <c r="K7" s="476"/>
      <c r="L7" s="225"/>
    </row>
    <row r="8" spans="1:13" ht="21.75">
      <c r="A8" s="127" t="s">
        <v>316</v>
      </c>
      <c r="I8" s="476"/>
      <c r="J8" s="225"/>
      <c r="L8" s="476"/>
      <c r="M8" s="225"/>
    </row>
    <row r="9" spans="7:13" ht="13.5" customHeight="1">
      <c r="G9" s="482"/>
      <c r="I9" s="476"/>
      <c r="J9" s="225"/>
      <c r="L9" s="536"/>
      <c r="M9" s="537"/>
    </row>
    <row r="10" spans="1:13" ht="21.75">
      <c r="A10" s="477" t="s">
        <v>5</v>
      </c>
      <c r="I10" s="476"/>
      <c r="J10" s="225"/>
      <c r="L10" s="476"/>
      <c r="M10" s="225"/>
    </row>
    <row r="11" spans="1:13" ht="21.75">
      <c r="A11" s="127" t="s">
        <v>317</v>
      </c>
      <c r="I11" s="473">
        <v>7257493.21</v>
      </c>
      <c r="J11" s="225"/>
      <c r="L11" s="532"/>
      <c r="M11" s="533"/>
    </row>
    <row r="12" spans="1:13" ht="21.75">
      <c r="A12" s="222" t="s">
        <v>292</v>
      </c>
      <c r="D12" s="497" t="s">
        <v>293</v>
      </c>
      <c r="G12" s="472">
        <v>1832</v>
      </c>
      <c r="I12" s="473"/>
      <c r="J12" s="225"/>
      <c r="L12" s="474"/>
      <c r="M12" s="475"/>
    </row>
    <row r="13" spans="1:13" ht="21.75">
      <c r="A13" s="222" t="s">
        <v>332</v>
      </c>
      <c r="D13" s="497" t="s">
        <v>333</v>
      </c>
      <c r="G13" s="472">
        <v>2000</v>
      </c>
      <c r="I13" s="473"/>
      <c r="J13" s="225"/>
      <c r="L13" s="474"/>
      <c r="M13" s="475"/>
    </row>
    <row r="14" spans="1:13" ht="21.75">
      <c r="A14" s="222" t="s">
        <v>344</v>
      </c>
      <c r="D14" s="497" t="s">
        <v>345</v>
      </c>
      <c r="G14" s="472">
        <v>4430</v>
      </c>
      <c r="I14" s="473"/>
      <c r="J14" s="225"/>
      <c r="L14" s="474"/>
      <c r="M14" s="475"/>
    </row>
    <row r="15" spans="1:13" ht="21.75">
      <c r="A15" s="222" t="s">
        <v>346</v>
      </c>
      <c r="D15" s="497" t="s">
        <v>347</v>
      </c>
      <c r="G15" s="472">
        <v>8215</v>
      </c>
      <c r="I15" s="473"/>
      <c r="J15" s="225"/>
      <c r="L15" s="474"/>
      <c r="M15" s="475"/>
    </row>
    <row r="16" spans="1:13" ht="21.75">
      <c r="A16" s="222" t="s">
        <v>348</v>
      </c>
      <c r="D16" s="497" t="s">
        <v>349</v>
      </c>
      <c r="G16" s="472">
        <v>3160</v>
      </c>
      <c r="I16" s="473"/>
      <c r="J16" s="225"/>
      <c r="L16" s="474"/>
      <c r="M16" s="475"/>
    </row>
    <row r="17" spans="1:13" ht="21.75">
      <c r="A17" s="222" t="s">
        <v>348</v>
      </c>
      <c r="D17" s="497" t="s">
        <v>350</v>
      </c>
      <c r="G17" s="472">
        <v>1400</v>
      </c>
      <c r="I17" s="473"/>
      <c r="J17" s="225"/>
      <c r="L17" s="474"/>
      <c r="M17" s="475"/>
    </row>
    <row r="18" spans="1:13" ht="21.75">
      <c r="A18" s="222" t="s">
        <v>348</v>
      </c>
      <c r="D18" s="497" t="s">
        <v>351</v>
      </c>
      <c r="G18" s="472">
        <v>1400</v>
      </c>
      <c r="I18" s="473"/>
      <c r="J18" s="225"/>
      <c r="L18" s="474"/>
      <c r="M18" s="475"/>
    </row>
    <row r="19" spans="1:13" ht="21.75">
      <c r="A19" s="222" t="s">
        <v>348</v>
      </c>
      <c r="D19" s="497" t="s">
        <v>352</v>
      </c>
      <c r="G19" s="472">
        <v>2440</v>
      </c>
      <c r="I19" s="473"/>
      <c r="J19" s="225"/>
      <c r="L19" s="474"/>
      <c r="M19" s="475"/>
    </row>
    <row r="20" spans="1:13" ht="21.75">
      <c r="A20" s="222" t="s">
        <v>348</v>
      </c>
      <c r="D20" s="497" t="s">
        <v>353</v>
      </c>
      <c r="G20" s="472">
        <v>2000</v>
      </c>
      <c r="I20" s="473"/>
      <c r="J20" s="225"/>
      <c r="L20" s="474"/>
      <c r="M20" s="475"/>
    </row>
    <row r="21" spans="1:13" ht="21.75">
      <c r="A21" s="222" t="s">
        <v>354</v>
      </c>
      <c r="D21" s="497" t="s">
        <v>355</v>
      </c>
      <c r="G21" s="472">
        <v>49386</v>
      </c>
      <c r="I21" s="473"/>
      <c r="J21" s="225"/>
      <c r="L21" s="474"/>
      <c r="M21" s="475"/>
    </row>
    <row r="22" spans="1:13" ht="21.75">
      <c r="A22" s="222" t="s">
        <v>354</v>
      </c>
      <c r="D22" s="497" t="s">
        <v>356</v>
      </c>
      <c r="G22" s="472">
        <v>4079</v>
      </c>
      <c r="I22" s="473"/>
      <c r="J22" s="225"/>
      <c r="L22" s="474"/>
      <c r="M22" s="475"/>
    </row>
    <row r="23" spans="1:13" ht="21.75">
      <c r="A23" s="222" t="s">
        <v>354</v>
      </c>
      <c r="D23" s="497" t="s">
        <v>357</v>
      </c>
      <c r="G23" s="472">
        <v>3000</v>
      </c>
      <c r="I23" s="473"/>
      <c r="J23" s="225"/>
      <c r="L23" s="474"/>
      <c r="M23" s="475"/>
    </row>
    <row r="24" spans="1:13" ht="21.75">
      <c r="A24" s="222" t="s">
        <v>354</v>
      </c>
      <c r="D24" s="497" t="s">
        <v>358</v>
      </c>
      <c r="G24" s="472">
        <v>1950</v>
      </c>
      <c r="I24" s="473"/>
      <c r="J24" s="225"/>
      <c r="L24" s="474"/>
      <c r="M24" s="475"/>
    </row>
    <row r="25" spans="1:13" ht="21.75">
      <c r="A25" s="222" t="s">
        <v>354</v>
      </c>
      <c r="D25" s="497" t="s">
        <v>359</v>
      </c>
      <c r="G25" s="472">
        <v>840</v>
      </c>
      <c r="I25" s="473"/>
      <c r="J25" s="225"/>
      <c r="L25" s="474"/>
      <c r="M25" s="475"/>
    </row>
    <row r="26" spans="1:13" ht="21.75">
      <c r="A26" s="222" t="s">
        <v>354</v>
      </c>
      <c r="D26" s="497" t="s">
        <v>360</v>
      </c>
      <c r="G26" s="472">
        <v>840</v>
      </c>
      <c r="I26" s="473"/>
      <c r="J26" s="225"/>
      <c r="L26" s="474"/>
      <c r="M26" s="475"/>
    </row>
    <row r="27" spans="1:13" ht="21.75">
      <c r="A27" s="222" t="s">
        <v>354</v>
      </c>
      <c r="D27" s="497" t="s">
        <v>361</v>
      </c>
      <c r="G27" s="472">
        <v>16031</v>
      </c>
      <c r="I27" s="476"/>
      <c r="J27" s="225"/>
      <c r="L27" s="536">
        <f>SUM(G12:G27)</f>
        <v>103003</v>
      </c>
      <c r="M27" s="537"/>
    </row>
    <row r="28" spans="1:13" ht="24">
      <c r="A28" s="222"/>
      <c r="D28" s="121"/>
      <c r="G28" s="472"/>
      <c r="I28" s="476"/>
      <c r="J28" s="225"/>
      <c r="L28" s="494"/>
      <c r="M28" s="495"/>
    </row>
    <row r="29" spans="1:13" ht="24">
      <c r="A29" s="222"/>
      <c r="D29" s="121"/>
      <c r="G29" s="472"/>
      <c r="I29" s="476"/>
      <c r="J29" s="225"/>
      <c r="L29" s="494"/>
      <c r="M29" s="495"/>
    </row>
    <row r="30" spans="1:13" ht="21.75">
      <c r="A30" s="477" t="s">
        <v>101</v>
      </c>
      <c r="B30" s="477"/>
      <c r="C30" s="477"/>
      <c r="D30" s="477"/>
      <c r="I30" s="476"/>
      <c r="J30" s="225"/>
      <c r="L30" s="483"/>
      <c r="M30" s="225"/>
    </row>
    <row r="31" spans="1:13" ht="21.75">
      <c r="A31" s="484" t="s">
        <v>6</v>
      </c>
      <c r="I31" s="476"/>
      <c r="J31" s="225"/>
      <c r="L31" s="476"/>
      <c r="M31" s="225"/>
    </row>
    <row r="32" spans="1:13" ht="13.5" customHeight="1">
      <c r="A32" s="484"/>
      <c r="I32" s="476"/>
      <c r="J32" s="225"/>
      <c r="L32" s="476"/>
      <c r="M32" s="225"/>
    </row>
    <row r="33" spans="1:17" ht="21.75">
      <c r="A33" s="485" t="s">
        <v>362</v>
      </c>
      <c r="B33" s="480"/>
      <c r="C33" s="480"/>
      <c r="D33" s="480"/>
      <c r="E33" s="480"/>
      <c r="F33" s="480"/>
      <c r="G33" s="480"/>
      <c r="H33" s="481"/>
      <c r="I33" s="486">
        <v>7256974.21</v>
      </c>
      <c r="J33" s="225"/>
      <c r="L33" s="530">
        <f>L6+L9-L27</f>
        <v>4439985.18</v>
      </c>
      <c r="M33" s="531"/>
      <c r="Q33" s="487"/>
    </row>
    <row r="34" spans="1:10" ht="21.75">
      <c r="A34" s="477" t="s">
        <v>7</v>
      </c>
      <c r="F34" s="476" t="s">
        <v>318</v>
      </c>
      <c r="I34" s="225"/>
      <c r="J34" s="480"/>
    </row>
    <row r="35" spans="6:10" ht="21.75">
      <c r="F35" s="476"/>
      <c r="J35" s="225"/>
    </row>
    <row r="36" spans="1:12" ht="21.75">
      <c r="A36" s="477" t="s">
        <v>319</v>
      </c>
      <c r="D36" s="477" t="s">
        <v>363</v>
      </c>
      <c r="F36" s="488" t="s">
        <v>320</v>
      </c>
      <c r="L36" s="477" t="str">
        <f>D36</f>
        <v>วันที่ 29 ก.พ. 2555</v>
      </c>
    </row>
    <row r="37" spans="1:13" ht="21.75">
      <c r="A37" s="485" t="s">
        <v>321</v>
      </c>
      <c r="B37" s="480"/>
      <c r="C37" s="480"/>
      <c r="D37" s="480"/>
      <c r="E37" s="480"/>
      <c r="F37" s="489" t="s">
        <v>322</v>
      </c>
      <c r="G37" s="480"/>
      <c r="H37" s="480"/>
      <c r="I37" s="480"/>
      <c r="J37" s="480"/>
      <c r="K37" s="480"/>
      <c r="L37" s="480"/>
      <c r="M37" s="480"/>
    </row>
    <row r="38" spans="1:10" ht="21.75">
      <c r="A38" s="225"/>
      <c r="B38" s="225"/>
      <c r="C38" s="225"/>
      <c r="D38" s="225"/>
      <c r="E38" s="225"/>
      <c r="F38" s="225"/>
      <c r="G38" s="225"/>
      <c r="H38" s="225"/>
      <c r="I38" s="225"/>
      <c r="J38" s="480"/>
    </row>
    <row r="39" spans="1:9" ht="21.75">
      <c r="A39" s="225"/>
      <c r="B39" s="225"/>
      <c r="C39" s="225"/>
      <c r="D39" s="225"/>
      <c r="E39" s="225"/>
      <c r="F39" s="225"/>
      <c r="G39" s="225"/>
      <c r="H39" s="225"/>
      <c r="I39" s="225"/>
    </row>
  </sheetData>
  <sheetProtection/>
  <mergeCells count="7">
    <mergeCell ref="I6:J6"/>
    <mergeCell ref="L5:M5"/>
    <mergeCell ref="L33:M33"/>
    <mergeCell ref="L11:M11"/>
    <mergeCell ref="L6:M6"/>
    <mergeCell ref="L27:M27"/>
    <mergeCell ref="L9:M9"/>
  </mergeCells>
  <printOptions/>
  <pageMargins left="0.748031496062992" right="0.25" top="0.31496062992126" bottom="0.15748031496063" header="0.511811023622047" footer="0.1574803149606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SheetLayoutView="100" zoomScalePageLayoutView="0" workbookViewId="0" topLeftCell="A1">
      <selection activeCell="B16" sqref="B16"/>
    </sheetView>
  </sheetViews>
  <sheetFormatPr defaultColWidth="9.140625" defaultRowHeight="21.75"/>
  <cols>
    <col min="1" max="1" width="12.8515625" style="0" customWidth="1"/>
    <col min="3" max="3" width="5.421875" style="0" customWidth="1"/>
    <col min="4" max="4" width="11.140625" style="0" customWidth="1"/>
    <col min="6" max="6" width="6.7109375" style="0" customWidth="1"/>
    <col min="7" max="7" width="13.140625" style="0" bestFit="1" customWidth="1"/>
    <col min="8" max="8" width="8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286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529" t="s">
        <v>3</v>
      </c>
      <c r="M5" s="529"/>
    </row>
    <row r="6" spans="1:13" ht="24">
      <c r="A6" s="1" t="s">
        <v>282</v>
      </c>
      <c r="B6" s="1"/>
      <c r="C6" s="1"/>
      <c r="D6" s="1"/>
      <c r="E6" s="1"/>
      <c r="F6" s="1"/>
      <c r="G6" s="2"/>
      <c r="H6" s="2"/>
      <c r="I6" s="538" t="s">
        <v>2</v>
      </c>
      <c r="J6" s="539"/>
      <c r="L6" s="544">
        <v>737408.15</v>
      </c>
      <c r="M6" s="545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10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287</v>
      </c>
      <c r="B9" s="2"/>
      <c r="C9" s="2"/>
      <c r="D9" s="2" t="s">
        <v>288</v>
      </c>
      <c r="E9" s="2"/>
      <c r="F9" s="2"/>
      <c r="G9" s="458">
        <v>4869</v>
      </c>
      <c r="H9" s="2"/>
      <c r="I9" s="8"/>
      <c r="J9" s="9"/>
      <c r="L9" s="548">
        <v>4869</v>
      </c>
      <c r="M9" s="549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11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542"/>
      <c r="M11" s="543"/>
    </row>
    <row r="12" spans="1:13" ht="13.5" customHeight="1">
      <c r="A12" s="22"/>
      <c r="B12" s="2"/>
      <c r="C12" s="2"/>
      <c r="D12" s="121"/>
      <c r="E12" s="2"/>
      <c r="F12" s="2"/>
      <c r="G12" s="13"/>
      <c r="H12" s="2"/>
      <c r="I12" s="12"/>
      <c r="J12" s="9"/>
      <c r="L12" s="174"/>
      <c r="M12" s="175"/>
    </row>
    <row r="13" spans="1:13" ht="24">
      <c r="A13" s="22"/>
      <c r="B13" s="2"/>
      <c r="C13" s="2"/>
      <c r="D13" s="121"/>
      <c r="E13" s="2"/>
      <c r="F13" s="2"/>
      <c r="G13" s="13"/>
      <c r="H13" s="2"/>
      <c r="I13" s="12"/>
      <c r="J13" s="9"/>
      <c r="L13" s="174"/>
      <c r="M13" s="175"/>
    </row>
    <row r="14" spans="1:13" ht="24">
      <c r="A14" s="22"/>
      <c r="B14" s="2"/>
      <c r="C14" s="2"/>
      <c r="D14" s="121"/>
      <c r="E14" s="2"/>
      <c r="F14" s="2"/>
      <c r="G14" s="13"/>
      <c r="H14" s="2"/>
      <c r="I14" s="12"/>
      <c r="J14" s="9"/>
      <c r="L14" s="174"/>
      <c r="M14" s="175"/>
    </row>
    <row r="15" spans="1:13" ht="24">
      <c r="A15" s="22"/>
      <c r="B15" s="2"/>
      <c r="C15" s="2"/>
      <c r="D15" s="121"/>
      <c r="E15" s="2"/>
      <c r="F15" s="2"/>
      <c r="G15" s="13"/>
      <c r="H15" s="2"/>
      <c r="I15" s="12"/>
      <c r="J15" s="9"/>
      <c r="L15" s="174"/>
      <c r="M15" s="175"/>
    </row>
    <row r="16" spans="1:13" ht="24">
      <c r="A16" s="22"/>
      <c r="B16" s="2"/>
      <c r="C16" s="2"/>
      <c r="D16" s="121"/>
      <c r="E16" s="2"/>
      <c r="F16" s="2"/>
      <c r="G16" s="13"/>
      <c r="H16" s="2"/>
      <c r="I16" s="12"/>
      <c r="J16" s="9"/>
      <c r="L16" s="174"/>
      <c r="M16" s="175"/>
    </row>
    <row r="17" spans="1:13" ht="24">
      <c r="A17" s="22"/>
      <c r="B17" s="2"/>
      <c r="C17" s="2"/>
      <c r="D17" s="121"/>
      <c r="E17" s="2"/>
      <c r="F17" s="2"/>
      <c r="G17" s="13"/>
      <c r="H17" s="2"/>
      <c r="I17" s="12"/>
      <c r="J17" s="9"/>
      <c r="L17" s="174"/>
      <c r="M17" s="175"/>
    </row>
    <row r="18" spans="1:13" ht="24">
      <c r="A18" s="22"/>
      <c r="B18" s="2"/>
      <c r="C18" s="2"/>
      <c r="D18" s="121"/>
      <c r="E18" s="2"/>
      <c r="F18" s="2"/>
      <c r="G18" s="13"/>
      <c r="H18" s="2"/>
      <c r="I18" s="12"/>
      <c r="J18" s="9"/>
      <c r="L18" s="174"/>
      <c r="M18" s="175"/>
    </row>
    <row r="19" spans="1:13" ht="24">
      <c r="A19" s="22"/>
      <c r="B19" s="2"/>
      <c r="C19" s="2"/>
      <c r="D19" s="121"/>
      <c r="E19" s="2"/>
      <c r="F19" s="2"/>
      <c r="G19" s="13"/>
      <c r="H19" s="2"/>
      <c r="I19" s="12"/>
      <c r="J19" s="9"/>
      <c r="L19" s="174"/>
      <c r="M19" s="175"/>
    </row>
    <row r="20" spans="1:13" ht="24">
      <c r="A20" s="22"/>
      <c r="B20" s="2"/>
      <c r="C20" s="2"/>
      <c r="D20" s="121"/>
      <c r="E20" s="2"/>
      <c r="F20" s="2"/>
      <c r="G20" s="13"/>
      <c r="H20" s="2"/>
      <c r="I20" s="12"/>
      <c r="J20" s="9"/>
      <c r="L20" s="174"/>
      <c r="M20" s="175"/>
    </row>
    <row r="21" spans="1:13" ht="24">
      <c r="A21" s="22"/>
      <c r="B21" s="2"/>
      <c r="C21" s="2"/>
      <c r="D21" s="121"/>
      <c r="E21" s="2"/>
      <c r="F21" s="2"/>
      <c r="G21" s="13"/>
      <c r="H21" s="2"/>
      <c r="I21" s="12"/>
      <c r="J21" s="9"/>
      <c r="L21" s="174"/>
      <c r="M21" s="175"/>
    </row>
    <row r="22" spans="1:13" ht="24">
      <c r="A22" s="22"/>
      <c r="B22" s="2"/>
      <c r="C22" s="2"/>
      <c r="D22" s="121"/>
      <c r="E22" s="2"/>
      <c r="F22" s="2"/>
      <c r="G22" s="13"/>
      <c r="H22" s="2"/>
      <c r="I22" s="12"/>
      <c r="J22" s="9"/>
      <c r="L22" s="174"/>
      <c r="M22" s="175"/>
    </row>
    <row r="23" spans="1:13" ht="24">
      <c r="A23" s="22"/>
      <c r="B23" s="2"/>
      <c r="C23" s="2"/>
      <c r="D23" s="121"/>
      <c r="E23" s="2"/>
      <c r="F23" s="2"/>
      <c r="G23" s="13"/>
      <c r="H23" s="2"/>
      <c r="I23" s="12"/>
      <c r="J23" s="9"/>
      <c r="L23" s="174"/>
      <c r="M23" s="175"/>
    </row>
    <row r="24" spans="1:13" ht="24">
      <c r="A24" s="22"/>
      <c r="B24" s="2"/>
      <c r="C24" s="2"/>
      <c r="D24" s="121"/>
      <c r="E24" s="2"/>
      <c r="F24" s="2"/>
      <c r="G24" s="13"/>
      <c r="H24" s="2"/>
      <c r="I24" s="12"/>
      <c r="J24" s="9"/>
      <c r="L24" s="174"/>
      <c r="M24" s="175"/>
    </row>
    <row r="25" spans="1:13" ht="24">
      <c r="A25" s="22"/>
      <c r="B25" s="2"/>
      <c r="C25" s="2"/>
      <c r="D25" s="121"/>
      <c r="E25" s="2"/>
      <c r="F25" s="2"/>
      <c r="G25" s="13"/>
      <c r="H25" s="2"/>
      <c r="I25" s="12"/>
      <c r="J25" s="9"/>
      <c r="L25" s="174"/>
      <c r="M25" s="175"/>
    </row>
    <row r="26" spans="1:13" ht="24">
      <c r="A26" s="22"/>
      <c r="B26" s="2"/>
      <c r="C26" s="2"/>
      <c r="D26" s="121"/>
      <c r="E26" s="2"/>
      <c r="F26" s="2"/>
      <c r="G26" s="13"/>
      <c r="H26" s="2"/>
      <c r="I26" s="12"/>
      <c r="J26" s="9"/>
      <c r="L26" s="174"/>
      <c r="M26" s="175"/>
    </row>
    <row r="27" spans="1:13" ht="24">
      <c r="A27" s="22"/>
      <c r="B27" s="2"/>
      <c r="C27" s="2"/>
      <c r="D27" s="121"/>
      <c r="E27" s="2"/>
      <c r="F27" s="2"/>
      <c r="G27" s="13"/>
      <c r="H27" s="2"/>
      <c r="I27" s="12"/>
      <c r="J27" s="9"/>
      <c r="L27" s="174"/>
      <c r="M27" s="175"/>
    </row>
    <row r="28" spans="1:13" ht="24">
      <c r="A28" s="22"/>
      <c r="B28" s="2"/>
      <c r="C28" s="2"/>
      <c r="D28" s="121"/>
      <c r="E28" s="2"/>
      <c r="F28" s="2"/>
      <c r="G28" s="13"/>
      <c r="H28" s="2"/>
      <c r="I28" s="12"/>
      <c r="J28" s="9"/>
      <c r="L28" s="174"/>
      <c r="M28" s="175"/>
    </row>
    <row r="29" spans="1:13" ht="24">
      <c r="A29" s="22"/>
      <c r="B29" s="2"/>
      <c r="C29" s="2"/>
      <c r="D29" s="121"/>
      <c r="E29" s="2"/>
      <c r="F29" s="2"/>
      <c r="G29" s="13"/>
      <c r="H29" s="2"/>
      <c r="I29" s="12"/>
      <c r="J29" s="9"/>
      <c r="L29" s="174"/>
      <c r="M29" s="175"/>
    </row>
    <row r="30" spans="1:13" ht="24">
      <c r="A30" s="22"/>
      <c r="B30" s="2"/>
      <c r="C30" s="2"/>
      <c r="D30" s="121"/>
      <c r="E30" s="2"/>
      <c r="F30" s="2"/>
      <c r="G30" s="13"/>
      <c r="H30" s="2"/>
      <c r="I30" s="12"/>
      <c r="J30" s="9"/>
      <c r="L30" s="174"/>
      <c r="M30" s="175"/>
    </row>
    <row r="31" spans="1:13" ht="24">
      <c r="A31" s="22"/>
      <c r="B31" s="2"/>
      <c r="C31" s="2"/>
      <c r="D31" s="121"/>
      <c r="E31" s="2"/>
      <c r="F31" s="2"/>
      <c r="G31" s="13"/>
      <c r="H31" s="2"/>
      <c r="I31" s="8"/>
      <c r="J31" s="9"/>
      <c r="L31" s="546"/>
      <c r="M31" s="547"/>
    </row>
    <row r="32" spans="1:13" ht="12.75" customHeight="1">
      <c r="A32" s="22"/>
      <c r="B32" s="2"/>
      <c r="C32" s="2"/>
      <c r="D32" s="121"/>
      <c r="E32" s="2"/>
      <c r="F32" s="2"/>
      <c r="G32" s="13"/>
      <c r="H32" s="2"/>
      <c r="I32" s="8"/>
      <c r="J32" s="9"/>
      <c r="L32" s="84"/>
      <c r="M32" s="89"/>
    </row>
    <row r="33" spans="1:13" ht="24">
      <c r="A33" s="1" t="s">
        <v>101</v>
      </c>
      <c r="B33" s="1"/>
      <c r="C33" s="1"/>
      <c r="D33" s="1"/>
      <c r="E33" s="2"/>
      <c r="F33" s="2"/>
      <c r="G33" s="2"/>
      <c r="H33" s="2"/>
      <c r="I33" s="8"/>
      <c r="J33" s="9"/>
      <c r="L33" s="14"/>
      <c r="M33" s="11"/>
    </row>
    <row r="34" spans="1:13" ht="24">
      <c r="A34" s="15" t="s">
        <v>6</v>
      </c>
      <c r="B34" s="2"/>
      <c r="C34" s="2"/>
      <c r="D34" s="2"/>
      <c r="E34" s="2"/>
      <c r="F34" s="2"/>
      <c r="G34" s="2"/>
      <c r="H34" s="2"/>
      <c r="I34" s="8"/>
      <c r="J34" s="9"/>
      <c r="L34" s="10"/>
      <c r="M34" s="11"/>
    </row>
    <row r="35" spans="1:13" ht="13.5" customHeight="1">
      <c r="A35" s="15"/>
      <c r="B35" s="2"/>
      <c r="C35" s="2"/>
      <c r="D35" s="2"/>
      <c r="E35" s="2"/>
      <c r="F35" s="2"/>
      <c r="G35" s="2"/>
      <c r="H35" s="2"/>
      <c r="I35" s="8"/>
      <c r="J35" s="9"/>
      <c r="L35" s="10"/>
      <c r="M35" s="11"/>
    </row>
    <row r="36" spans="1:17" ht="24">
      <c r="A36" s="120" t="s">
        <v>285</v>
      </c>
      <c r="B36" s="5"/>
      <c r="C36" s="5"/>
      <c r="D36" s="5"/>
      <c r="E36" s="5"/>
      <c r="F36" s="5"/>
      <c r="G36" s="5"/>
      <c r="H36" s="6"/>
      <c r="I36" s="17">
        <v>7256974.21</v>
      </c>
      <c r="J36" s="9"/>
      <c r="L36" s="540">
        <f>L6+L9-L31</f>
        <v>742277.15</v>
      </c>
      <c r="M36" s="541"/>
      <c r="Q36" s="118"/>
    </row>
    <row r="37" spans="1:10" ht="24">
      <c r="A37" s="1" t="s">
        <v>7</v>
      </c>
      <c r="B37" s="2"/>
      <c r="C37" s="2"/>
      <c r="D37" s="2"/>
      <c r="E37" s="2"/>
      <c r="F37" s="8" t="s">
        <v>8</v>
      </c>
      <c r="G37" s="2"/>
      <c r="H37" s="2"/>
      <c r="I37" s="9"/>
      <c r="J37" s="5"/>
    </row>
    <row r="38" spans="1:10" ht="24">
      <c r="A38" s="2"/>
      <c r="B38" s="2"/>
      <c r="C38" s="2"/>
      <c r="D38" s="2"/>
      <c r="E38" s="2"/>
      <c r="F38" s="8"/>
      <c r="G38" s="2"/>
      <c r="H38" s="2"/>
      <c r="I38" s="2"/>
      <c r="J38" s="9"/>
    </row>
    <row r="39" spans="1:12" ht="24">
      <c r="A39" s="1" t="s">
        <v>113</v>
      </c>
      <c r="B39" s="2"/>
      <c r="C39" s="2"/>
      <c r="D39" s="23" t="s">
        <v>283</v>
      </c>
      <c r="E39" s="2"/>
      <c r="F39" s="24" t="s">
        <v>267</v>
      </c>
      <c r="G39" s="2"/>
      <c r="H39" s="2"/>
      <c r="I39" s="2"/>
      <c r="J39" s="2"/>
      <c r="L39" s="23" t="str">
        <f>D39</f>
        <v>วันที่ 30 มิ.ย. 54</v>
      </c>
    </row>
    <row r="40" spans="1:13" ht="24">
      <c r="A40" s="16" t="s">
        <v>277</v>
      </c>
      <c r="B40" s="5"/>
      <c r="C40" s="5"/>
      <c r="D40" s="5"/>
      <c r="E40" s="5"/>
      <c r="F40" s="401" t="s">
        <v>268</v>
      </c>
      <c r="G40" s="5"/>
      <c r="H40" s="5"/>
      <c r="I40" s="5"/>
      <c r="J40" s="5"/>
      <c r="K40" s="7"/>
      <c r="L40" s="7"/>
      <c r="M40" s="7"/>
    </row>
    <row r="41" spans="1:10" ht="24">
      <c r="A41" s="9"/>
      <c r="B41" s="9"/>
      <c r="C41" s="9"/>
      <c r="D41" s="9"/>
      <c r="E41" s="9"/>
      <c r="F41" s="9"/>
      <c r="G41" s="9"/>
      <c r="H41" s="9"/>
      <c r="I41" s="9"/>
      <c r="J41" s="5"/>
    </row>
    <row r="42" spans="1:9" ht="21.75">
      <c r="A42" s="11"/>
      <c r="B42" s="11"/>
      <c r="C42" s="11"/>
      <c r="D42" s="11"/>
      <c r="E42" s="11"/>
      <c r="F42" s="11"/>
      <c r="G42" s="11"/>
      <c r="H42" s="11"/>
      <c r="I42" s="11"/>
    </row>
  </sheetData>
  <sheetProtection/>
  <mergeCells count="7">
    <mergeCell ref="I6:J6"/>
    <mergeCell ref="L5:M5"/>
    <mergeCell ref="L36:M36"/>
    <mergeCell ref="L11:M11"/>
    <mergeCell ref="L6:M6"/>
    <mergeCell ref="L31:M31"/>
    <mergeCell ref="L9:M9"/>
  </mergeCells>
  <printOptions/>
  <pageMargins left="0.748031496062992" right="0.25" top="0.31496062992126" bottom="0.15748031496063" header="0.511811023622047" footer="0.15748031496063"/>
  <pageSetup fitToHeight="1" fitToWidth="1" horizontalDpi="180" verticalDpi="18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1" width="16.28125" style="0" bestFit="1" customWidth="1"/>
    <col min="4" max="4" width="11.140625" style="0" customWidth="1"/>
    <col min="5" max="5" width="6.7109375" style="0" customWidth="1"/>
    <col min="6" max="6" width="14.57421875" style="0" bestFit="1" customWidth="1"/>
    <col min="7" max="7" width="9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109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110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529" t="s">
        <v>3</v>
      </c>
      <c r="L5" s="529"/>
    </row>
    <row r="6" spans="1:12" ht="24">
      <c r="A6" s="1" t="s">
        <v>296</v>
      </c>
      <c r="B6" s="1"/>
      <c r="C6" s="1"/>
      <c r="D6" s="1"/>
      <c r="E6" s="1"/>
      <c r="F6" s="2"/>
      <c r="G6" s="2"/>
      <c r="H6" s="538" t="s">
        <v>2</v>
      </c>
      <c r="I6" s="539"/>
      <c r="K6" s="544">
        <v>956858.08</v>
      </c>
      <c r="L6" s="545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10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"/>
      <c r="B9" s="2"/>
      <c r="C9" s="2"/>
      <c r="D9" s="2"/>
      <c r="E9" s="2"/>
      <c r="F9" s="2"/>
      <c r="G9" s="2"/>
      <c r="H9" s="8"/>
      <c r="I9" s="9"/>
      <c r="K9" s="10"/>
      <c r="L9" s="11"/>
    </row>
    <row r="10" spans="1:12" ht="24">
      <c r="A10" s="22"/>
      <c r="C10" s="351"/>
      <c r="D10" s="2"/>
      <c r="F10" s="13"/>
      <c r="G10" s="2"/>
      <c r="H10" s="8"/>
      <c r="I10" s="9"/>
      <c r="K10" s="555"/>
      <c r="L10" s="556"/>
    </row>
    <row r="11" spans="1:12" ht="24">
      <c r="A11" s="22"/>
      <c r="B11" s="2"/>
      <c r="C11" s="2"/>
      <c r="D11" s="2"/>
      <c r="E11" s="2"/>
      <c r="F11" s="13"/>
      <c r="G11" s="2"/>
      <c r="H11" s="8"/>
      <c r="I11" s="9"/>
      <c r="K11" s="553"/>
      <c r="L11" s="554"/>
    </row>
    <row r="12" spans="1:12" ht="24">
      <c r="A12" s="1" t="s">
        <v>5</v>
      </c>
      <c r="B12" s="2"/>
      <c r="C12" s="2"/>
      <c r="D12" s="2"/>
      <c r="E12" s="2"/>
      <c r="F12" s="2"/>
      <c r="G12" s="2"/>
      <c r="H12" s="8"/>
      <c r="I12" s="9"/>
      <c r="K12" s="10"/>
      <c r="L12" s="11"/>
    </row>
    <row r="13" spans="1:12" ht="24">
      <c r="A13" s="2" t="s">
        <v>238</v>
      </c>
      <c r="B13" s="2"/>
      <c r="C13" s="2"/>
      <c r="D13" s="119" t="s">
        <v>239</v>
      </c>
      <c r="E13" s="119"/>
      <c r="F13" s="119" t="s">
        <v>123</v>
      </c>
      <c r="G13" s="2"/>
      <c r="H13" s="12">
        <v>7257493.21</v>
      </c>
      <c r="I13" s="9"/>
      <c r="K13" s="542"/>
      <c r="L13" s="543"/>
    </row>
    <row r="14" spans="1:12" ht="24">
      <c r="A14" s="22"/>
      <c r="B14" s="2"/>
      <c r="C14" s="2"/>
      <c r="D14" s="22"/>
      <c r="E14" s="2"/>
      <c r="F14" s="13"/>
      <c r="G14" s="2"/>
      <c r="H14" s="8"/>
      <c r="I14" s="9"/>
      <c r="K14" s="550"/>
      <c r="L14" s="551"/>
    </row>
    <row r="15" spans="1:12" ht="24">
      <c r="A15" s="22"/>
      <c r="C15" s="351"/>
      <c r="D15" s="2"/>
      <c r="F15" s="13"/>
      <c r="G15" s="2"/>
      <c r="H15" s="8"/>
      <c r="I15" s="9"/>
      <c r="K15" s="546"/>
      <c r="L15" s="547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546"/>
      <c r="L16" s="547"/>
    </row>
    <row r="17" spans="1:12" ht="24">
      <c r="A17" s="22"/>
      <c r="B17" s="2"/>
      <c r="C17" s="2"/>
      <c r="D17" s="2"/>
      <c r="E17" s="2"/>
      <c r="F17" s="13"/>
      <c r="G17" s="2"/>
      <c r="H17" s="8"/>
      <c r="I17" s="9"/>
      <c r="K17" s="84"/>
      <c r="L17" s="89"/>
    </row>
    <row r="18" spans="1:12" ht="24">
      <c r="A18" s="1" t="s">
        <v>101</v>
      </c>
      <c r="B18" s="1"/>
      <c r="C18" s="1"/>
      <c r="D18" s="1"/>
      <c r="E18" s="2"/>
      <c r="F18" s="2"/>
      <c r="G18" s="2"/>
      <c r="H18" s="8"/>
      <c r="I18" s="9"/>
      <c r="K18" s="14"/>
      <c r="L18" s="11"/>
    </row>
    <row r="19" spans="1:12" ht="24">
      <c r="A19" s="15" t="s">
        <v>6</v>
      </c>
      <c r="B19" s="2"/>
      <c r="C19" s="2"/>
      <c r="D19" s="2"/>
      <c r="E19" s="2"/>
      <c r="F19" s="2"/>
      <c r="G19" s="2"/>
      <c r="H19" s="8"/>
      <c r="I19" s="9"/>
      <c r="K19" s="10"/>
      <c r="L19" s="11"/>
    </row>
    <row r="20" spans="1:12" ht="24">
      <c r="A20" s="15" t="s">
        <v>121</v>
      </c>
      <c r="B20" s="2"/>
      <c r="C20" s="2"/>
      <c r="D20" s="119" t="s">
        <v>122</v>
      </c>
      <c r="E20" s="2"/>
      <c r="F20" s="119" t="s">
        <v>123</v>
      </c>
      <c r="G20" s="2"/>
      <c r="H20" s="8"/>
      <c r="I20" s="9"/>
      <c r="K20" s="10"/>
      <c r="L20" s="11"/>
    </row>
    <row r="21" spans="1:12" ht="24">
      <c r="A21" s="447"/>
      <c r="B21" s="2"/>
      <c r="C21" s="2"/>
      <c r="D21" s="350"/>
      <c r="E21" s="2"/>
      <c r="F21" s="460"/>
      <c r="G21" s="2"/>
      <c r="H21" s="8"/>
      <c r="I21" s="9"/>
      <c r="K21" s="548"/>
      <c r="L21" s="552"/>
    </row>
    <row r="22" spans="1:12" ht="24">
      <c r="A22" s="447" t="s">
        <v>295</v>
      </c>
      <c r="B22" s="2"/>
      <c r="C22" s="2"/>
      <c r="D22" s="2" t="s">
        <v>294</v>
      </c>
      <c r="E22" s="2"/>
      <c r="F22" s="459">
        <v>918408.08</v>
      </c>
      <c r="G22" s="2"/>
      <c r="H22" s="8"/>
      <c r="I22" s="9"/>
      <c r="K22" s="548">
        <v>918408.08</v>
      </c>
      <c r="L22" s="552"/>
    </row>
    <row r="23" spans="1:12" ht="24">
      <c r="A23" s="15"/>
      <c r="B23" s="2"/>
      <c r="C23" s="2"/>
      <c r="D23" s="2"/>
      <c r="E23" s="2"/>
      <c r="F23" s="2"/>
      <c r="G23" s="2"/>
      <c r="H23" s="8"/>
      <c r="I23" s="9"/>
      <c r="K23" s="10"/>
      <c r="L23" s="11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2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16" t="s">
        <v>297</v>
      </c>
      <c r="B29" s="5"/>
      <c r="C29" s="5"/>
      <c r="D29" s="5"/>
      <c r="E29" s="5"/>
      <c r="F29" s="5"/>
      <c r="G29" s="6"/>
      <c r="H29" s="17">
        <v>7256974.21</v>
      </c>
      <c r="I29" s="9"/>
      <c r="K29" s="540">
        <f>K6+K11-K16-K21-K22</f>
        <v>38450</v>
      </c>
      <c r="L29" s="541"/>
    </row>
    <row r="30" spans="1:9" ht="24">
      <c r="A30" s="1" t="s">
        <v>7</v>
      </c>
      <c r="B30" s="2"/>
      <c r="C30" s="2"/>
      <c r="D30" s="2"/>
      <c r="E30" s="8" t="s">
        <v>8</v>
      </c>
      <c r="F30" s="2"/>
      <c r="G30" s="2"/>
      <c r="H30" s="9"/>
      <c r="I30" s="5"/>
    </row>
    <row r="31" spans="1:9" ht="24">
      <c r="A31" s="1"/>
      <c r="B31" s="2"/>
      <c r="C31" s="2"/>
      <c r="D31" s="2"/>
      <c r="E31" s="8"/>
      <c r="F31" s="2"/>
      <c r="G31" s="2"/>
      <c r="H31" s="9"/>
      <c r="I31" s="9"/>
    </row>
    <row r="32" spans="1:9" ht="24">
      <c r="A32" s="2"/>
      <c r="B32" s="2"/>
      <c r="C32" s="2"/>
      <c r="D32" s="2"/>
      <c r="E32" s="8"/>
      <c r="F32" s="2"/>
      <c r="G32" s="2"/>
      <c r="H32" s="2"/>
      <c r="I32" s="9"/>
    </row>
    <row r="33" spans="1:11" ht="24">
      <c r="A33" s="1" t="s">
        <v>130</v>
      </c>
      <c r="B33" s="2"/>
      <c r="C33" s="23" t="s">
        <v>298</v>
      </c>
      <c r="D33" s="23"/>
      <c r="E33" s="24" t="s">
        <v>267</v>
      </c>
      <c r="F33" s="2"/>
      <c r="G33" s="2"/>
      <c r="H33" s="2"/>
      <c r="I33" s="2"/>
      <c r="K33" s="23" t="str">
        <f>C33</f>
        <v>วันที่ 30 ก.ย. 54</v>
      </c>
    </row>
    <row r="34" spans="1:12" ht="24">
      <c r="A34" s="16" t="s">
        <v>284</v>
      </c>
      <c r="B34" s="5"/>
      <c r="C34" s="5"/>
      <c r="D34" s="5"/>
      <c r="E34" s="401" t="s">
        <v>276</v>
      </c>
      <c r="F34" s="5"/>
      <c r="G34" s="5"/>
      <c r="H34" s="5"/>
      <c r="I34" s="5"/>
      <c r="J34" s="7"/>
      <c r="K34" s="7"/>
      <c r="L34" s="7"/>
    </row>
    <row r="35" spans="1:9" ht="24">
      <c r="A35" s="9"/>
      <c r="B35" s="9"/>
      <c r="C35" s="9"/>
      <c r="D35" s="9"/>
      <c r="E35" s="9"/>
      <c r="F35" s="9"/>
      <c r="G35" s="9"/>
      <c r="H35" s="9"/>
      <c r="I35" s="5"/>
    </row>
    <row r="36" spans="1:8" ht="21.75">
      <c r="A36" s="11"/>
      <c r="B36" s="11"/>
      <c r="C36" s="11"/>
      <c r="D36" s="11"/>
      <c r="E36" s="11"/>
      <c r="F36" s="11"/>
      <c r="G36" s="11"/>
      <c r="H36" s="11"/>
    </row>
  </sheetData>
  <sheetProtection/>
  <mergeCells count="12">
    <mergeCell ref="K21:L21"/>
    <mergeCell ref="K10:L10"/>
    <mergeCell ref="H6:I6"/>
    <mergeCell ref="K14:L14"/>
    <mergeCell ref="K5:L5"/>
    <mergeCell ref="K22:L22"/>
    <mergeCell ref="K29:L29"/>
    <mergeCell ref="K13:L13"/>
    <mergeCell ref="K6:L6"/>
    <mergeCell ref="K15:L15"/>
    <mergeCell ref="K11:L11"/>
    <mergeCell ref="K16:L16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zoomScalePageLayoutView="0" workbookViewId="0" topLeftCell="A26">
      <selection activeCell="A12" sqref="A12"/>
    </sheetView>
  </sheetViews>
  <sheetFormatPr defaultColWidth="9.140625" defaultRowHeight="21.75"/>
  <cols>
    <col min="1" max="1" width="48.421875" style="77" customWidth="1"/>
    <col min="2" max="2" width="9.28125" style="110" customWidth="1"/>
    <col min="3" max="3" width="14.7109375" style="77" customWidth="1"/>
    <col min="4" max="4" width="4.7109375" style="77" customWidth="1"/>
    <col min="5" max="5" width="14.7109375" style="77" customWidth="1"/>
    <col min="6" max="6" width="4.7109375" style="77" customWidth="1"/>
    <col min="7" max="16384" width="9.140625" style="77" customWidth="1"/>
  </cols>
  <sheetData>
    <row r="1" spans="1:6" ht="23.25">
      <c r="A1" s="518" t="s">
        <v>57</v>
      </c>
      <c r="B1" s="518"/>
      <c r="C1" s="518"/>
      <c r="D1" s="518"/>
      <c r="E1" s="518"/>
      <c r="F1" s="518"/>
    </row>
    <row r="2" spans="1:6" ht="23.25">
      <c r="A2" s="518" t="s">
        <v>58</v>
      </c>
      <c r="B2" s="518"/>
      <c r="C2" s="518"/>
      <c r="D2" s="518"/>
      <c r="E2" s="518"/>
      <c r="F2" s="518"/>
    </row>
    <row r="3" spans="1:42" ht="23.25">
      <c r="A3" s="515" t="s">
        <v>339</v>
      </c>
      <c r="B3" s="515"/>
      <c r="C3" s="515"/>
      <c r="D3" s="515"/>
      <c r="E3" s="515"/>
      <c r="F3" s="515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</row>
    <row r="4" spans="1:42" ht="23.25" customHeight="1">
      <c r="A4" s="558" t="s">
        <v>25</v>
      </c>
      <c r="B4" s="560" t="s">
        <v>59</v>
      </c>
      <c r="C4" s="558" t="s">
        <v>60</v>
      </c>
      <c r="D4" s="558"/>
      <c r="E4" s="562" t="s">
        <v>61</v>
      </c>
      <c r="F4" s="563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</row>
    <row r="5" spans="1:42" ht="23.25">
      <c r="A5" s="559"/>
      <c r="B5" s="561"/>
      <c r="C5" s="559"/>
      <c r="D5" s="559"/>
      <c r="E5" s="564"/>
      <c r="F5" s="565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</row>
    <row r="6" spans="1:42" ht="23.25">
      <c r="A6" s="403" t="s">
        <v>124</v>
      </c>
      <c r="B6" s="404" t="s">
        <v>131</v>
      </c>
      <c r="C6" s="405">
        <v>0</v>
      </c>
      <c r="D6" s="406" t="s">
        <v>67</v>
      </c>
      <c r="E6" s="407"/>
      <c r="F6" s="408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</row>
    <row r="7" spans="1:6" ht="23.25">
      <c r="A7" s="237" t="s">
        <v>62</v>
      </c>
      <c r="B7" s="96" t="s">
        <v>132</v>
      </c>
      <c r="C7" s="409">
        <v>4439985</v>
      </c>
      <c r="D7" s="410">
        <v>18</v>
      </c>
      <c r="E7" s="411"/>
      <c r="F7" s="412"/>
    </row>
    <row r="8" spans="1:6" ht="23.25">
      <c r="A8" s="237" t="s">
        <v>118</v>
      </c>
      <c r="B8" s="96" t="s">
        <v>132</v>
      </c>
      <c r="C8" s="496">
        <v>873464</v>
      </c>
      <c r="D8" s="410">
        <v>74</v>
      </c>
      <c r="E8" s="411"/>
      <c r="F8" s="412"/>
    </row>
    <row r="9" spans="1:6" ht="23.25">
      <c r="A9" s="237" t="s">
        <v>63</v>
      </c>
      <c r="B9" s="96" t="s">
        <v>133</v>
      </c>
      <c r="C9" s="405">
        <v>1921887</v>
      </c>
      <c r="D9" s="414">
        <v>11</v>
      </c>
      <c r="E9" s="411"/>
      <c r="F9" s="412"/>
    </row>
    <row r="10" spans="1:6" ht="23.25">
      <c r="A10" s="237" t="s">
        <v>38</v>
      </c>
      <c r="B10" s="96" t="s">
        <v>134</v>
      </c>
      <c r="C10" s="413">
        <v>22824</v>
      </c>
      <c r="D10" s="412" t="s">
        <v>67</v>
      </c>
      <c r="E10" s="411"/>
      <c r="F10" s="412"/>
    </row>
    <row r="11" spans="1:6" ht="23.25">
      <c r="A11" s="237" t="s">
        <v>205</v>
      </c>
      <c r="B11" s="96" t="s">
        <v>177</v>
      </c>
      <c r="C11" s="405">
        <v>13420</v>
      </c>
      <c r="D11" s="415" t="s">
        <v>67</v>
      </c>
      <c r="E11" s="413"/>
      <c r="F11" s="412"/>
    </row>
    <row r="12" spans="1:6" ht="23.25">
      <c r="A12" s="237" t="s">
        <v>329</v>
      </c>
      <c r="B12" s="96" t="s">
        <v>240</v>
      </c>
      <c r="C12" s="405">
        <v>0</v>
      </c>
      <c r="D12" s="415" t="s">
        <v>67</v>
      </c>
      <c r="E12" s="413"/>
      <c r="F12" s="412"/>
    </row>
    <row r="13" spans="1:6" ht="23.25">
      <c r="A13" s="237" t="s">
        <v>327</v>
      </c>
      <c r="B13" s="96" t="s">
        <v>206</v>
      </c>
      <c r="C13" s="405">
        <v>0</v>
      </c>
      <c r="D13" s="415" t="s">
        <v>67</v>
      </c>
      <c r="E13" s="413"/>
      <c r="F13" s="412"/>
    </row>
    <row r="14" spans="1:6" ht="23.25">
      <c r="A14" s="237" t="s">
        <v>310</v>
      </c>
      <c r="B14" s="96" t="s">
        <v>135</v>
      </c>
      <c r="C14" s="413"/>
      <c r="D14" s="416"/>
      <c r="E14" s="413">
        <v>28448</v>
      </c>
      <c r="F14" s="412" t="s">
        <v>67</v>
      </c>
    </row>
    <row r="15" spans="1:6" ht="23.25">
      <c r="A15" s="237" t="s">
        <v>311</v>
      </c>
      <c r="B15" s="96" t="s">
        <v>136</v>
      </c>
      <c r="C15" s="413"/>
      <c r="D15" s="416"/>
      <c r="E15" s="417">
        <v>0</v>
      </c>
      <c r="F15" s="412" t="s">
        <v>67</v>
      </c>
    </row>
    <row r="16" spans="1:6" ht="23.25">
      <c r="A16" s="237" t="s">
        <v>312</v>
      </c>
      <c r="B16" s="96" t="s">
        <v>178</v>
      </c>
      <c r="C16" s="413"/>
      <c r="D16" s="416"/>
      <c r="E16" s="417">
        <v>0</v>
      </c>
      <c r="F16" s="412" t="s">
        <v>67</v>
      </c>
    </row>
    <row r="17" spans="1:6" ht="23.25">
      <c r="A17" s="237" t="s">
        <v>291</v>
      </c>
      <c r="B17" s="96" t="s">
        <v>159</v>
      </c>
      <c r="C17" s="409"/>
      <c r="D17" s="412"/>
      <c r="E17" s="413">
        <v>941490</v>
      </c>
      <c r="F17" s="414">
        <v>12</v>
      </c>
    </row>
    <row r="18" spans="1:6" ht="23.25">
      <c r="A18" s="237" t="s">
        <v>40</v>
      </c>
      <c r="B18" s="96" t="s">
        <v>156</v>
      </c>
      <c r="C18" s="413"/>
      <c r="D18" s="416"/>
      <c r="E18" s="413">
        <v>2622440</v>
      </c>
      <c r="F18" s="414">
        <v>61</v>
      </c>
    </row>
    <row r="19" spans="1:6" ht="23.25">
      <c r="A19" s="237" t="s">
        <v>65</v>
      </c>
      <c r="B19" s="96" t="s">
        <v>157</v>
      </c>
      <c r="C19" s="413"/>
      <c r="D19" s="415"/>
      <c r="E19" s="409">
        <v>3274482</v>
      </c>
      <c r="F19" s="414">
        <v>53</v>
      </c>
    </row>
    <row r="20" spans="1:6" ht="23.25">
      <c r="A20" s="237" t="s">
        <v>306</v>
      </c>
      <c r="B20" s="96" t="s">
        <v>158</v>
      </c>
      <c r="C20" s="413"/>
      <c r="D20" s="412"/>
      <c r="E20" s="413">
        <v>7602917</v>
      </c>
      <c r="F20" s="410">
        <v>79</v>
      </c>
    </row>
    <row r="21" spans="1:6" ht="23.25">
      <c r="A21" s="237" t="s">
        <v>43</v>
      </c>
      <c r="B21" s="96" t="s">
        <v>173</v>
      </c>
      <c r="C21" s="417">
        <v>249289</v>
      </c>
      <c r="D21" s="410" t="s">
        <v>67</v>
      </c>
      <c r="E21" s="413"/>
      <c r="F21" s="410"/>
    </row>
    <row r="22" spans="1:6" ht="23.25">
      <c r="A22" s="237" t="s">
        <v>200</v>
      </c>
      <c r="B22" s="96" t="s">
        <v>202</v>
      </c>
      <c r="C22" s="413">
        <v>855300</v>
      </c>
      <c r="D22" s="410" t="s">
        <v>67</v>
      </c>
      <c r="E22" s="413"/>
      <c r="F22" s="410"/>
    </row>
    <row r="23" spans="1:6" ht="23.25">
      <c r="A23" s="237" t="s">
        <v>201</v>
      </c>
      <c r="B23" s="96" t="s">
        <v>203</v>
      </c>
      <c r="C23" s="413">
        <v>1577774</v>
      </c>
      <c r="D23" s="410" t="s">
        <v>67</v>
      </c>
      <c r="E23" s="413"/>
      <c r="F23" s="410"/>
    </row>
    <row r="24" spans="1:6" ht="23.25">
      <c r="A24" s="237" t="s">
        <v>44</v>
      </c>
      <c r="B24" s="96" t="s">
        <v>151</v>
      </c>
      <c r="C24" s="413">
        <v>280293</v>
      </c>
      <c r="D24" s="412" t="s">
        <v>67</v>
      </c>
      <c r="E24" s="413"/>
      <c r="F24" s="412"/>
    </row>
    <row r="25" spans="1:6" ht="23.25">
      <c r="A25" s="237" t="s">
        <v>45</v>
      </c>
      <c r="B25" s="96" t="s">
        <v>152</v>
      </c>
      <c r="C25" s="413">
        <v>752504</v>
      </c>
      <c r="D25" s="412">
        <v>46</v>
      </c>
      <c r="E25" s="413"/>
      <c r="F25" s="412"/>
    </row>
    <row r="26" spans="1:6" ht="23.25">
      <c r="A26" s="237" t="s">
        <v>46</v>
      </c>
      <c r="B26" s="96" t="s">
        <v>153</v>
      </c>
      <c r="C26" s="413">
        <v>434290</v>
      </c>
      <c r="D26" s="412">
        <v>80</v>
      </c>
      <c r="E26" s="413"/>
      <c r="F26" s="412"/>
    </row>
    <row r="27" spans="1:6" ht="23.25">
      <c r="A27" s="237" t="s">
        <v>64</v>
      </c>
      <c r="B27" s="96" t="s">
        <v>154</v>
      </c>
      <c r="C27" s="413">
        <v>158132</v>
      </c>
      <c r="D27" s="410">
        <v>26</v>
      </c>
      <c r="E27" s="413"/>
      <c r="F27" s="412"/>
    </row>
    <row r="28" spans="1:6" ht="23.25">
      <c r="A28" s="237" t="s">
        <v>47</v>
      </c>
      <c r="B28" s="96" t="s">
        <v>211</v>
      </c>
      <c r="C28" s="417">
        <v>57848</v>
      </c>
      <c r="D28" s="412">
        <v>50</v>
      </c>
      <c r="E28" s="413"/>
      <c r="F28" s="412"/>
    </row>
    <row r="29" spans="1:6" ht="23.25">
      <c r="A29" s="237" t="s">
        <v>48</v>
      </c>
      <c r="B29" s="96" t="s">
        <v>155</v>
      </c>
      <c r="C29" s="417" t="s">
        <v>67</v>
      </c>
      <c r="D29" s="412" t="s">
        <v>67</v>
      </c>
      <c r="E29" s="413"/>
      <c r="F29" s="412"/>
    </row>
    <row r="30" spans="1:6" ht="23.25">
      <c r="A30" s="237" t="s">
        <v>212</v>
      </c>
      <c r="B30" s="96" t="s">
        <v>175</v>
      </c>
      <c r="C30" s="417">
        <v>3500</v>
      </c>
      <c r="D30" s="412" t="s">
        <v>67</v>
      </c>
      <c r="E30" s="413"/>
      <c r="F30" s="412"/>
    </row>
    <row r="31" spans="1:6" ht="23.25">
      <c r="A31" s="237" t="s">
        <v>37</v>
      </c>
      <c r="B31" s="96" t="s">
        <v>174</v>
      </c>
      <c r="C31" s="417">
        <v>425800</v>
      </c>
      <c r="D31" s="414" t="s">
        <v>67</v>
      </c>
      <c r="E31" s="413"/>
      <c r="F31" s="414"/>
    </row>
    <row r="32" spans="1:6" ht="23.25">
      <c r="A32" s="237" t="s">
        <v>328</v>
      </c>
      <c r="B32" s="96" t="s">
        <v>172</v>
      </c>
      <c r="C32" s="417">
        <v>2403466</v>
      </c>
      <c r="D32" s="414" t="s">
        <v>67</v>
      </c>
      <c r="E32" s="413"/>
      <c r="F32" s="414"/>
    </row>
    <row r="33" spans="1:6" ht="23.25">
      <c r="A33" s="181"/>
      <c r="B33" s="97"/>
      <c r="C33" s="417"/>
      <c r="D33" s="414"/>
      <c r="E33" s="413"/>
      <c r="F33" s="414"/>
    </row>
    <row r="34" spans="2:6" ht="24" thickBot="1">
      <c r="B34" s="106"/>
      <c r="C34" s="418">
        <f>INT(SUM(C6:C33)+SUM(D6:D33)/100)</f>
        <v>14469779</v>
      </c>
      <c r="D34" s="419">
        <f>MOD(SUM(D6:D33),100)</f>
        <v>5</v>
      </c>
      <c r="E34" s="418">
        <f>INT(SUM(E6:E33)+SUM(F6:F33)/100)</f>
        <v>14469779</v>
      </c>
      <c r="F34" s="420">
        <f>MOD(SUM(F6:F33),100)</f>
        <v>5</v>
      </c>
    </row>
    <row r="35" spans="2:6" ht="24" thickTop="1">
      <c r="B35" s="106"/>
      <c r="C35" s="103"/>
      <c r="D35" s="421"/>
      <c r="E35" s="103"/>
      <c r="F35" s="421"/>
    </row>
    <row r="36" spans="1:6" ht="23.25">
      <c r="A36" s="557" t="s">
        <v>244</v>
      </c>
      <c r="B36" s="557"/>
      <c r="C36" s="557"/>
      <c r="D36" s="557"/>
      <c r="E36" s="557"/>
      <c r="F36" s="557"/>
    </row>
    <row r="37" spans="1:6" ht="23.25">
      <c r="A37" s="117" t="s">
        <v>271</v>
      </c>
      <c r="B37" s="117"/>
      <c r="C37" s="117"/>
      <c r="D37" s="117"/>
      <c r="E37" s="117"/>
      <c r="F37" s="117"/>
    </row>
    <row r="38" spans="1:5" ht="23.25">
      <c r="A38" s="422" t="s">
        <v>270</v>
      </c>
      <c r="C38" s="117"/>
      <c r="D38" s="117"/>
      <c r="E38" s="117"/>
    </row>
  </sheetData>
  <sheetProtection/>
  <mergeCells count="8">
    <mergeCell ref="A36:F36"/>
    <mergeCell ref="A1:F1"/>
    <mergeCell ref="A2:F2"/>
    <mergeCell ref="A3:F3"/>
    <mergeCell ref="A4:A5"/>
    <mergeCell ref="B4:B5"/>
    <mergeCell ref="C4:D5"/>
    <mergeCell ref="E4:F5"/>
  </mergeCells>
  <printOptions/>
  <pageMargins left="0.75" right="0.25" top="0.25" bottom="0.25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SheetLayoutView="100" zoomScalePageLayoutView="0" workbookViewId="0" topLeftCell="A1">
      <selection activeCell="I128" sqref="I128"/>
    </sheetView>
  </sheetViews>
  <sheetFormatPr defaultColWidth="9.140625" defaultRowHeight="21.75"/>
  <cols>
    <col min="1" max="1" width="16.140625" style="71" bestFit="1" customWidth="1"/>
    <col min="2" max="2" width="11.140625" style="71" bestFit="1" customWidth="1"/>
    <col min="3" max="3" width="8.00390625" style="71" customWidth="1"/>
    <col min="4" max="4" width="9.8515625" style="71" bestFit="1" customWidth="1"/>
    <col min="5" max="5" width="9.00390625" style="71" bestFit="1" customWidth="1"/>
    <col min="6" max="6" width="11.140625" style="71" customWidth="1"/>
    <col min="7" max="7" width="9.8515625" style="71" bestFit="1" customWidth="1"/>
    <col min="8" max="8" width="8.7109375" style="71" customWidth="1"/>
    <col min="9" max="10" width="11.140625" style="71" customWidth="1"/>
    <col min="11" max="16" width="9.8515625" style="71" customWidth="1"/>
    <col min="17" max="17" width="11.140625" style="71" customWidth="1"/>
    <col min="18" max="18" width="12.00390625" style="71" bestFit="1" customWidth="1"/>
    <col min="19" max="19" width="9.140625" style="71" customWidth="1"/>
    <col min="20" max="20" width="12.00390625" style="71" bestFit="1" customWidth="1"/>
    <col min="21" max="16384" width="9.140625" style="71" customWidth="1"/>
  </cols>
  <sheetData>
    <row r="1" spans="1:18" s="23" customFormat="1" ht="23.25" customHeight="1">
      <c r="A1" s="571" t="s">
        <v>12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</row>
    <row r="2" spans="1:18" s="23" customFormat="1" ht="23.25" customHeight="1">
      <c r="A2" s="571" t="s">
        <v>13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</row>
    <row r="3" spans="1:18" s="23" customFormat="1" ht="23.25" customHeight="1" thickBot="1">
      <c r="A3" s="572" t="s">
        <v>337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</row>
    <row r="4" spans="1:18" s="62" customFormat="1" ht="21.75" customHeight="1">
      <c r="A4" s="57" t="s">
        <v>14</v>
      </c>
      <c r="B4" s="566" t="s">
        <v>78</v>
      </c>
      <c r="C4" s="567"/>
      <c r="D4" s="568"/>
      <c r="E4" s="426" t="s">
        <v>81</v>
      </c>
      <c r="F4" s="58" t="s">
        <v>87</v>
      </c>
      <c r="G4" s="58" t="s">
        <v>88</v>
      </c>
      <c r="H4" s="59" t="s">
        <v>91</v>
      </c>
      <c r="I4" s="566" t="s">
        <v>82</v>
      </c>
      <c r="J4" s="568"/>
      <c r="K4" s="60" t="s">
        <v>92</v>
      </c>
      <c r="L4" s="566" t="s">
        <v>83</v>
      </c>
      <c r="M4" s="567"/>
      <c r="N4" s="568"/>
      <c r="O4" s="60" t="s">
        <v>95</v>
      </c>
      <c r="P4" s="60" t="s">
        <v>111</v>
      </c>
      <c r="Q4" s="58" t="s">
        <v>76</v>
      </c>
      <c r="R4" s="61" t="s">
        <v>15</v>
      </c>
    </row>
    <row r="5" spans="1:18" s="62" customFormat="1" ht="19.5" thickBot="1">
      <c r="A5" s="63" t="s">
        <v>16</v>
      </c>
      <c r="B5" s="65" t="s">
        <v>79</v>
      </c>
      <c r="C5" s="66" t="s">
        <v>323</v>
      </c>
      <c r="D5" s="66" t="s">
        <v>80</v>
      </c>
      <c r="E5" s="64" t="s">
        <v>72</v>
      </c>
      <c r="F5" s="136" t="s">
        <v>106</v>
      </c>
      <c r="G5" s="65" t="s">
        <v>89</v>
      </c>
      <c r="H5" s="68" t="s">
        <v>263</v>
      </c>
      <c r="I5" s="64" t="s">
        <v>74</v>
      </c>
      <c r="J5" s="64" t="s">
        <v>75</v>
      </c>
      <c r="K5" s="69" t="s">
        <v>262</v>
      </c>
      <c r="L5" s="66" t="s">
        <v>127</v>
      </c>
      <c r="M5" s="66" t="s">
        <v>84</v>
      </c>
      <c r="N5" s="67" t="s">
        <v>85</v>
      </c>
      <c r="O5" s="69" t="s">
        <v>94</v>
      </c>
      <c r="P5" s="69" t="s">
        <v>112</v>
      </c>
      <c r="Q5" s="64" t="s">
        <v>77</v>
      </c>
      <c r="R5" s="70"/>
    </row>
    <row r="6" spans="1:18" s="147" customFormat="1" ht="21" customHeight="1">
      <c r="A6" s="327" t="s">
        <v>199</v>
      </c>
      <c r="B6" s="315"/>
      <c r="C6" s="316"/>
      <c r="D6" s="316"/>
      <c r="E6" s="315"/>
      <c r="F6" s="316"/>
      <c r="G6" s="316"/>
      <c r="H6" s="328"/>
      <c r="I6" s="315"/>
      <c r="J6" s="315"/>
      <c r="K6" s="329"/>
      <c r="L6" s="315"/>
      <c r="M6" s="315"/>
      <c r="N6" s="328"/>
      <c r="O6" s="329"/>
      <c r="P6" s="329"/>
      <c r="Q6" s="315"/>
      <c r="R6" s="329"/>
    </row>
    <row r="7" spans="1:18" s="147" customFormat="1" ht="21" customHeight="1">
      <c r="A7" s="330" t="s">
        <v>134</v>
      </c>
      <c r="B7" s="317">
        <v>0</v>
      </c>
      <c r="C7" s="331">
        <v>0</v>
      </c>
      <c r="D7" s="331">
        <v>0</v>
      </c>
      <c r="E7" s="317">
        <v>0</v>
      </c>
      <c r="F7" s="317">
        <v>0</v>
      </c>
      <c r="G7" s="317">
        <v>0</v>
      </c>
      <c r="H7" s="317">
        <v>0</v>
      </c>
      <c r="I7" s="317">
        <v>0</v>
      </c>
      <c r="J7" s="317">
        <v>0</v>
      </c>
      <c r="K7" s="317">
        <v>0</v>
      </c>
      <c r="L7" s="317">
        <v>0</v>
      </c>
      <c r="M7" s="317">
        <v>0</v>
      </c>
      <c r="N7" s="317">
        <v>0</v>
      </c>
      <c r="O7" s="317">
        <v>0</v>
      </c>
      <c r="P7" s="317">
        <v>0</v>
      </c>
      <c r="Q7" s="173">
        <v>44024</v>
      </c>
      <c r="R7" s="317">
        <f aca="true" t="shared" si="0" ref="R7:R15">SUM(B7:Q7)</f>
        <v>44024</v>
      </c>
    </row>
    <row r="8" spans="1:18" s="147" customFormat="1" ht="21" customHeight="1">
      <c r="A8" s="330" t="s">
        <v>195</v>
      </c>
      <c r="B8" s="317">
        <v>0</v>
      </c>
      <c r="C8" s="331">
        <v>0</v>
      </c>
      <c r="D8" s="331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  <c r="N8" s="317">
        <v>0</v>
      </c>
      <c r="O8" s="317">
        <v>0</v>
      </c>
      <c r="P8" s="317">
        <v>0</v>
      </c>
      <c r="Q8" s="173">
        <v>0</v>
      </c>
      <c r="R8" s="317">
        <f t="shared" si="0"/>
        <v>0</v>
      </c>
    </row>
    <row r="9" spans="1:18" s="147" customFormat="1" ht="21" customHeight="1">
      <c r="A9" s="330" t="s">
        <v>196</v>
      </c>
      <c r="B9" s="317">
        <v>0</v>
      </c>
      <c r="C9" s="331">
        <v>0</v>
      </c>
      <c r="D9" s="331">
        <v>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  <c r="N9" s="317">
        <v>0</v>
      </c>
      <c r="O9" s="317">
        <v>0</v>
      </c>
      <c r="P9" s="317">
        <v>0</v>
      </c>
      <c r="Q9" s="173">
        <v>0</v>
      </c>
      <c r="R9" s="317">
        <f t="shared" si="0"/>
        <v>0</v>
      </c>
    </row>
    <row r="10" spans="1:18" s="147" customFormat="1" ht="21" customHeight="1">
      <c r="A10" s="330" t="s">
        <v>264</v>
      </c>
      <c r="B10" s="317">
        <v>0</v>
      </c>
      <c r="C10" s="331">
        <v>0</v>
      </c>
      <c r="D10" s="331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  <c r="N10" s="317">
        <v>0</v>
      </c>
      <c r="O10" s="317">
        <v>0</v>
      </c>
      <c r="P10" s="317">
        <v>0</v>
      </c>
      <c r="Q10" s="173">
        <v>2500</v>
      </c>
      <c r="R10" s="317">
        <f t="shared" si="0"/>
        <v>2500</v>
      </c>
    </row>
    <row r="11" spans="1:18" s="147" customFormat="1" ht="21" customHeight="1">
      <c r="A11" s="330" t="s">
        <v>237</v>
      </c>
      <c r="B11" s="317">
        <v>0</v>
      </c>
      <c r="C11" s="331">
        <v>0</v>
      </c>
      <c r="D11" s="331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  <c r="N11" s="317">
        <v>0</v>
      </c>
      <c r="O11" s="317">
        <v>0</v>
      </c>
      <c r="P11" s="317">
        <v>0</v>
      </c>
      <c r="Q11" s="173">
        <v>0</v>
      </c>
      <c r="R11" s="317">
        <f t="shared" si="0"/>
        <v>0</v>
      </c>
    </row>
    <row r="12" spans="1:18" s="147" customFormat="1" ht="21" customHeight="1">
      <c r="A12" s="330" t="s">
        <v>197</v>
      </c>
      <c r="B12" s="317">
        <v>0</v>
      </c>
      <c r="C12" s="331">
        <v>0</v>
      </c>
      <c r="D12" s="331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  <c r="N12" s="317">
        <v>0</v>
      </c>
      <c r="O12" s="317">
        <v>0</v>
      </c>
      <c r="P12" s="317">
        <v>0</v>
      </c>
      <c r="Q12" s="173">
        <v>0</v>
      </c>
      <c r="R12" s="317">
        <f t="shared" si="0"/>
        <v>0</v>
      </c>
    </row>
    <row r="13" spans="1:18" s="147" customFormat="1" ht="21" customHeight="1">
      <c r="A13" s="330" t="s">
        <v>198</v>
      </c>
      <c r="B13" s="317">
        <v>0</v>
      </c>
      <c r="C13" s="331">
        <v>0</v>
      </c>
      <c r="D13" s="331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  <c r="N13" s="317">
        <v>0</v>
      </c>
      <c r="O13" s="317">
        <v>0</v>
      </c>
      <c r="P13" s="317">
        <v>0</v>
      </c>
      <c r="Q13" s="173">
        <v>0</v>
      </c>
      <c r="R13" s="317">
        <f t="shared" si="0"/>
        <v>0</v>
      </c>
    </row>
    <row r="14" spans="1:18" s="334" customFormat="1" ht="18">
      <c r="A14" s="72" t="s">
        <v>17</v>
      </c>
      <c r="B14" s="73">
        <f aca="true" t="shared" si="1" ref="B14:Q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46524</v>
      </c>
      <c r="R14" s="74">
        <f t="shared" si="0"/>
        <v>46524</v>
      </c>
    </row>
    <row r="15" spans="1:18" s="335" customFormat="1" ht="18">
      <c r="A15" s="72" t="s">
        <v>18</v>
      </c>
      <c r="B15" s="73">
        <v>0</v>
      </c>
      <c r="C15" s="73"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f>0</f>
        <v>0</v>
      </c>
      <c r="Q15" s="73">
        <f>108765+63000+31000+46524</f>
        <v>249289</v>
      </c>
      <c r="R15" s="74">
        <f t="shared" si="0"/>
        <v>249289</v>
      </c>
    </row>
    <row r="16" spans="1:18" s="147" customFormat="1" ht="21" customHeight="1">
      <c r="A16" s="319">
        <v>521000</v>
      </c>
      <c r="B16" s="74"/>
      <c r="C16" s="321"/>
      <c r="D16" s="321"/>
      <c r="E16" s="74"/>
      <c r="F16" s="321"/>
      <c r="G16" s="321"/>
      <c r="H16" s="74"/>
      <c r="I16" s="74"/>
      <c r="J16" s="74"/>
      <c r="K16" s="317"/>
      <c r="L16" s="74"/>
      <c r="M16" s="74"/>
      <c r="N16" s="74"/>
      <c r="O16" s="317"/>
      <c r="P16" s="317"/>
      <c r="Q16" s="73"/>
      <c r="R16" s="317"/>
    </row>
    <row r="17" spans="1:18" s="147" customFormat="1" ht="21" customHeight="1">
      <c r="A17" s="318">
        <v>210100</v>
      </c>
      <c r="B17" s="173">
        <v>42840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317">
        <f aca="true" t="shared" si="2" ref="R17:R23">SUM(B17:Q17)</f>
        <v>42840</v>
      </c>
    </row>
    <row r="18" spans="1:18" s="147" customFormat="1" ht="21" customHeight="1">
      <c r="A18" s="318">
        <v>210200</v>
      </c>
      <c r="B18" s="173">
        <v>3510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317">
        <f t="shared" si="2"/>
        <v>3510</v>
      </c>
    </row>
    <row r="19" spans="1:18" s="147" customFormat="1" ht="21" customHeight="1">
      <c r="A19" s="318">
        <v>210300</v>
      </c>
      <c r="B19" s="173">
        <v>3510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317">
        <f t="shared" si="2"/>
        <v>3510</v>
      </c>
    </row>
    <row r="20" spans="1:18" s="147" customFormat="1" ht="21" customHeight="1">
      <c r="A20" s="318">
        <v>210400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317">
        <f t="shared" si="2"/>
        <v>0</v>
      </c>
    </row>
    <row r="21" spans="1:18" s="147" customFormat="1" ht="21" customHeight="1">
      <c r="A21" s="318">
        <v>210600</v>
      </c>
      <c r="B21" s="173">
        <v>121200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317">
        <f t="shared" si="2"/>
        <v>121200</v>
      </c>
    </row>
    <row r="22" spans="1:18" s="334" customFormat="1" ht="18">
      <c r="A22" s="72" t="s">
        <v>17</v>
      </c>
      <c r="B22" s="73">
        <f aca="true" t="shared" si="3" ref="B22:Q22">SUM(B17:B21)</f>
        <v>171060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4">
        <f t="shared" si="2"/>
        <v>171060</v>
      </c>
    </row>
    <row r="23" spans="1:18" s="335" customFormat="1" ht="18">
      <c r="A23" s="72" t="s">
        <v>18</v>
      </c>
      <c r="B23" s="73">
        <f>171060+171060+171060+171060+171060</f>
        <v>855300</v>
      </c>
      <c r="C23" s="73">
        <v>0</v>
      </c>
      <c r="D23" s="73"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3">
        <f>0</f>
        <v>0</v>
      </c>
      <c r="R23" s="74">
        <f t="shared" si="2"/>
        <v>855300</v>
      </c>
    </row>
    <row r="24" spans="1:18" s="147" customFormat="1" ht="21" customHeight="1">
      <c r="A24" s="319">
        <v>522000</v>
      </c>
      <c r="B24" s="74"/>
      <c r="C24" s="321"/>
      <c r="D24" s="321"/>
      <c r="E24" s="74"/>
      <c r="F24" s="321"/>
      <c r="G24" s="321"/>
      <c r="H24" s="74"/>
      <c r="I24" s="74"/>
      <c r="J24" s="74"/>
      <c r="K24" s="317"/>
      <c r="L24" s="74"/>
      <c r="M24" s="74"/>
      <c r="N24" s="74"/>
      <c r="O24" s="317"/>
      <c r="P24" s="317"/>
      <c r="Q24" s="73"/>
      <c r="R24" s="317"/>
    </row>
    <row r="25" spans="1:18" s="147" customFormat="1" ht="21" customHeight="1">
      <c r="A25" s="318">
        <v>220100</v>
      </c>
      <c r="B25" s="173">
        <v>110020</v>
      </c>
      <c r="C25" s="173">
        <v>0</v>
      </c>
      <c r="D25" s="173">
        <v>47220</v>
      </c>
      <c r="E25" s="173">
        <v>0</v>
      </c>
      <c r="F25" s="173">
        <v>0</v>
      </c>
      <c r="G25" s="173">
        <v>0</v>
      </c>
      <c r="H25" s="173">
        <v>0</v>
      </c>
      <c r="I25" s="173">
        <v>37940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317">
        <f aca="true" t="shared" si="4" ref="R25:R32">SUM(B25:Q25)</f>
        <v>195180</v>
      </c>
    </row>
    <row r="26" spans="1:18" s="147" customFormat="1" ht="21" customHeight="1">
      <c r="A26" s="318">
        <v>220200</v>
      </c>
      <c r="B26" s="173">
        <v>2760</v>
      </c>
      <c r="C26" s="173">
        <v>0</v>
      </c>
      <c r="D26" s="173">
        <v>2340</v>
      </c>
      <c r="E26" s="173">
        <v>0</v>
      </c>
      <c r="F26" s="173">
        <v>0</v>
      </c>
      <c r="G26" s="173">
        <v>0</v>
      </c>
      <c r="H26" s="173">
        <v>0</v>
      </c>
      <c r="I26" s="173">
        <v>2090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317">
        <f t="shared" si="4"/>
        <v>7190</v>
      </c>
    </row>
    <row r="27" spans="1:18" s="147" customFormat="1" ht="21" customHeight="1">
      <c r="A27" s="318">
        <v>220300</v>
      </c>
      <c r="B27" s="173">
        <v>3500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317">
        <f t="shared" si="4"/>
        <v>3500</v>
      </c>
    </row>
    <row r="28" spans="1:18" s="147" customFormat="1" ht="21" customHeight="1">
      <c r="A28" s="318">
        <v>220600</v>
      </c>
      <c r="B28" s="173">
        <v>41830</v>
      </c>
      <c r="C28" s="173">
        <v>0</v>
      </c>
      <c r="D28" s="173">
        <v>18710</v>
      </c>
      <c r="E28" s="173">
        <v>0</v>
      </c>
      <c r="F28" s="173">
        <v>0</v>
      </c>
      <c r="G28" s="173">
        <v>0</v>
      </c>
      <c r="H28" s="173">
        <v>0</v>
      </c>
      <c r="I28" s="173">
        <v>28820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317">
        <f t="shared" si="4"/>
        <v>89360</v>
      </c>
    </row>
    <row r="29" spans="1:18" s="147" customFormat="1" ht="21" customHeight="1">
      <c r="A29" s="318">
        <v>220700</v>
      </c>
      <c r="B29" s="173">
        <v>10110</v>
      </c>
      <c r="C29" s="173">
        <v>0</v>
      </c>
      <c r="D29" s="173">
        <v>2810</v>
      </c>
      <c r="E29" s="173">
        <v>0</v>
      </c>
      <c r="F29" s="173">
        <v>0</v>
      </c>
      <c r="G29" s="173">
        <v>0</v>
      </c>
      <c r="H29" s="173">
        <v>0</v>
      </c>
      <c r="I29" s="173">
        <v>8100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317">
        <f>SUM(B29:Q29)</f>
        <v>21020</v>
      </c>
    </row>
    <row r="30" spans="1:18" s="147" customFormat="1" ht="21" customHeight="1">
      <c r="A30" s="318">
        <v>221100</v>
      </c>
      <c r="B30" s="173">
        <f>1890+480</f>
        <v>2370</v>
      </c>
      <c r="C30" s="173">
        <v>0</v>
      </c>
      <c r="D30" s="173">
        <f>790+480</f>
        <v>1270</v>
      </c>
      <c r="E30" s="173">
        <v>0</v>
      </c>
      <c r="F30" s="173">
        <v>0</v>
      </c>
      <c r="G30" s="173">
        <v>0</v>
      </c>
      <c r="H30" s="173">
        <v>0</v>
      </c>
      <c r="I30" s="173">
        <v>320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317">
        <f t="shared" si="4"/>
        <v>3960</v>
      </c>
    </row>
    <row r="31" spans="1:18" ht="18.75">
      <c r="A31" s="72" t="s">
        <v>17</v>
      </c>
      <c r="B31" s="73">
        <f aca="true" t="shared" si="5" ref="B31:Q31">SUM(B25:B30)</f>
        <v>170590</v>
      </c>
      <c r="C31" s="73">
        <f t="shared" si="5"/>
        <v>0</v>
      </c>
      <c r="D31" s="73">
        <f t="shared" si="5"/>
        <v>72350</v>
      </c>
      <c r="E31" s="73">
        <f t="shared" si="5"/>
        <v>0</v>
      </c>
      <c r="F31" s="73">
        <f t="shared" si="5"/>
        <v>0</v>
      </c>
      <c r="G31" s="73">
        <f t="shared" si="5"/>
        <v>0</v>
      </c>
      <c r="H31" s="73">
        <f t="shared" si="5"/>
        <v>0</v>
      </c>
      <c r="I31" s="73">
        <f t="shared" si="5"/>
        <v>77270</v>
      </c>
      <c r="J31" s="73">
        <f t="shared" si="5"/>
        <v>0</v>
      </c>
      <c r="K31" s="73">
        <f t="shared" si="5"/>
        <v>0</v>
      </c>
      <c r="L31" s="73">
        <f t="shared" si="5"/>
        <v>0</v>
      </c>
      <c r="M31" s="73">
        <f t="shared" si="5"/>
        <v>0</v>
      </c>
      <c r="N31" s="73">
        <f t="shared" si="5"/>
        <v>0</v>
      </c>
      <c r="O31" s="73">
        <f t="shared" si="5"/>
        <v>0</v>
      </c>
      <c r="P31" s="73">
        <f t="shared" si="5"/>
        <v>0</v>
      </c>
      <c r="Q31" s="73">
        <f t="shared" si="5"/>
        <v>0</v>
      </c>
      <c r="R31" s="317">
        <f t="shared" si="4"/>
        <v>320210</v>
      </c>
    </row>
    <row r="32" spans="1:18" s="79" customFormat="1" ht="18.75">
      <c r="A32" s="72" t="s">
        <v>18</v>
      </c>
      <c r="B32" s="73">
        <f>169088+188830+179310+176576+170590</f>
        <v>884394</v>
      </c>
      <c r="C32" s="73">
        <v>0</v>
      </c>
      <c r="D32" s="73">
        <f>72350+72350+72350+72350+72350</f>
        <v>361750</v>
      </c>
      <c r="E32" s="73">
        <f>0</f>
        <v>0</v>
      </c>
      <c r="F32" s="73">
        <v>0</v>
      </c>
      <c r="G32" s="73">
        <f>0</f>
        <v>0</v>
      </c>
      <c r="H32" s="73">
        <f>0</f>
        <v>0</v>
      </c>
      <c r="I32" s="73">
        <f>62090+65090+63590+63590+77270</f>
        <v>331630</v>
      </c>
      <c r="J32" s="73">
        <f>0</f>
        <v>0</v>
      </c>
      <c r="K32" s="73">
        <f>0</f>
        <v>0</v>
      </c>
      <c r="L32" s="73">
        <f>0</f>
        <v>0</v>
      </c>
      <c r="M32" s="73">
        <f>0</f>
        <v>0</v>
      </c>
      <c r="N32" s="73">
        <f>0</f>
        <v>0</v>
      </c>
      <c r="O32" s="73">
        <f>0</f>
        <v>0</v>
      </c>
      <c r="P32" s="73">
        <f>0</f>
        <v>0</v>
      </c>
      <c r="Q32" s="73">
        <f>0</f>
        <v>0</v>
      </c>
      <c r="R32" s="317">
        <f t="shared" si="4"/>
        <v>1577774</v>
      </c>
    </row>
    <row r="33" spans="1:18" s="79" customFormat="1" ht="18.75" customHeight="1">
      <c r="A33" s="78"/>
      <c r="B33" s="75"/>
      <c r="C33" s="75"/>
      <c r="D33" s="569" t="s">
        <v>7</v>
      </c>
      <c r="E33" s="569"/>
      <c r="F33" s="85"/>
      <c r="G33" s="85"/>
      <c r="H33" s="85"/>
      <c r="I33" s="574" t="s">
        <v>97</v>
      </c>
      <c r="J33" s="574"/>
      <c r="K33" s="574"/>
      <c r="L33" s="75"/>
      <c r="M33" s="75"/>
      <c r="N33" s="75"/>
      <c r="O33" s="75"/>
      <c r="P33" s="75"/>
      <c r="Q33" s="75"/>
      <c r="R33" s="332"/>
    </row>
    <row r="34" spans="1:18" s="79" customFormat="1" ht="21" customHeight="1">
      <c r="A34" s="78"/>
      <c r="B34" s="80"/>
      <c r="C34" s="80"/>
      <c r="D34" s="85"/>
      <c r="E34" s="85"/>
      <c r="F34" s="85"/>
      <c r="G34" s="85"/>
      <c r="H34" s="85"/>
      <c r="I34" s="85"/>
      <c r="J34" s="85"/>
      <c r="K34" s="85"/>
      <c r="L34" s="80"/>
      <c r="M34" s="80"/>
      <c r="N34" s="80"/>
      <c r="O34" s="80"/>
      <c r="P34" s="80"/>
      <c r="Q34" s="80"/>
      <c r="R34" s="81"/>
    </row>
    <row r="35" spans="1:18" s="79" customFormat="1" ht="21" customHeight="1">
      <c r="A35" s="78"/>
      <c r="B35" s="85"/>
      <c r="C35" s="85"/>
      <c r="D35" s="569" t="s">
        <v>114</v>
      </c>
      <c r="E35" s="569"/>
      <c r="F35" s="85"/>
      <c r="G35" s="85"/>
      <c r="H35" s="85"/>
      <c r="I35" s="569" t="s">
        <v>269</v>
      </c>
      <c r="J35" s="569"/>
      <c r="K35" s="569"/>
      <c r="L35" s="80"/>
      <c r="M35" s="80"/>
      <c r="N35" s="80"/>
      <c r="O35" s="80"/>
      <c r="P35" s="80"/>
      <c r="Q35" s="80"/>
      <c r="R35" s="81"/>
    </row>
    <row r="36" spans="1:18" s="79" customFormat="1" ht="21" customHeight="1">
      <c r="A36" s="78"/>
      <c r="B36" s="80"/>
      <c r="C36" s="80"/>
      <c r="D36" s="569" t="s">
        <v>281</v>
      </c>
      <c r="E36" s="569"/>
      <c r="F36" s="85"/>
      <c r="G36" s="85"/>
      <c r="H36" s="85"/>
      <c r="I36" s="569" t="s">
        <v>96</v>
      </c>
      <c r="J36" s="569"/>
      <c r="K36" s="569"/>
      <c r="L36" s="80"/>
      <c r="M36" s="80"/>
      <c r="N36" s="80"/>
      <c r="O36" s="80"/>
      <c r="P36" s="80"/>
      <c r="Q36" s="80"/>
      <c r="R36" s="81"/>
    </row>
    <row r="37" spans="1:18" ht="21" customHeight="1" thickBot="1">
      <c r="A37" s="573" t="s">
        <v>19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</row>
    <row r="38" spans="1:18" s="62" customFormat="1" ht="21.75" customHeight="1">
      <c r="A38" s="57" t="s">
        <v>14</v>
      </c>
      <c r="B38" s="566" t="s">
        <v>78</v>
      </c>
      <c r="C38" s="567"/>
      <c r="D38" s="568"/>
      <c r="E38" s="426" t="s">
        <v>81</v>
      </c>
      <c r="F38" s="58" t="s">
        <v>87</v>
      </c>
      <c r="G38" s="58" t="s">
        <v>88</v>
      </c>
      <c r="H38" s="59" t="s">
        <v>91</v>
      </c>
      <c r="I38" s="566" t="s">
        <v>82</v>
      </c>
      <c r="J38" s="568"/>
      <c r="K38" s="60" t="s">
        <v>92</v>
      </c>
      <c r="L38" s="566" t="s">
        <v>83</v>
      </c>
      <c r="M38" s="567"/>
      <c r="N38" s="568"/>
      <c r="O38" s="60" t="s">
        <v>95</v>
      </c>
      <c r="P38" s="60" t="s">
        <v>111</v>
      </c>
      <c r="Q38" s="58" t="s">
        <v>76</v>
      </c>
      <c r="R38" s="61" t="s">
        <v>15</v>
      </c>
    </row>
    <row r="39" spans="1:18" s="62" customFormat="1" ht="19.5" thickBot="1">
      <c r="A39" s="63" t="s">
        <v>16</v>
      </c>
      <c r="B39" s="65" t="s">
        <v>79</v>
      </c>
      <c r="C39" s="66" t="s">
        <v>323</v>
      </c>
      <c r="D39" s="66" t="s">
        <v>80</v>
      </c>
      <c r="E39" s="64" t="s">
        <v>72</v>
      </c>
      <c r="F39" s="136" t="s">
        <v>106</v>
      </c>
      <c r="G39" s="65" t="s">
        <v>89</v>
      </c>
      <c r="H39" s="68" t="s">
        <v>263</v>
      </c>
      <c r="I39" s="64" t="s">
        <v>74</v>
      </c>
      <c r="J39" s="64" t="s">
        <v>75</v>
      </c>
      <c r="K39" s="69" t="s">
        <v>262</v>
      </c>
      <c r="L39" s="66" t="s">
        <v>127</v>
      </c>
      <c r="M39" s="66" t="s">
        <v>84</v>
      </c>
      <c r="N39" s="67" t="s">
        <v>85</v>
      </c>
      <c r="O39" s="69" t="s">
        <v>94</v>
      </c>
      <c r="P39" s="69" t="s">
        <v>112</v>
      </c>
      <c r="Q39" s="64" t="s">
        <v>77</v>
      </c>
      <c r="R39" s="70"/>
    </row>
    <row r="40" spans="1:18" s="147" customFormat="1" ht="21" customHeight="1">
      <c r="A40" s="312">
        <v>531000</v>
      </c>
      <c r="B40" s="313"/>
      <c r="C40" s="314"/>
      <c r="D40" s="314"/>
      <c r="E40" s="315"/>
      <c r="F40" s="316"/>
      <c r="G40" s="316"/>
      <c r="H40" s="315"/>
      <c r="I40" s="315"/>
      <c r="J40" s="313"/>
      <c r="K40" s="317"/>
      <c r="L40" s="315"/>
      <c r="M40" s="315"/>
      <c r="N40" s="315"/>
      <c r="O40" s="317"/>
      <c r="P40" s="317"/>
      <c r="Q40" s="313"/>
      <c r="R40" s="317"/>
    </row>
    <row r="41" spans="1:18" s="147" customFormat="1" ht="21" customHeight="1">
      <c r="A41" s="318">
        <v>310100</v>
      </c>
      <c r="B41" s="173">
        <v>0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  <c r="R41" s="317">
        <f aca="true" t="shared" si="6" ref="R41:R49">SUM(B41:Q41)</f>
        <v>0</v>
      </c>
    </row>
    <row r="42" spans="1:18" s="147" customFormat="1" ht="21" customHeight="1">
      <c r="A42" s="318">
        <v>310200</v>
      </c>
      <c r="B42" s="173">
        <v>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317">
        <f t="shared" si="6"/>
        <v>0</v>
      </c>
    </row>
    <row r="43" spans="1:18" s="147" customFormat="1" ht="21" customHeight="1">
      <c r="A43" s="318">
        <v>310300</v>
      </c>
      <c r="B43" s="173">
        <v>0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3360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317">
        <f t="shared" si="6"/>
        <v>3360</v>
      </c>
    </row>
    <row r="44" spans="1:18" s="147" customFormat="1" ht="21" customHeight="1">
      <c r="A44" s="318">
        <v>310400</v>
      </c>
      <c r="B44" s="173">
        <v>6350</v>
      </c>
      <c r="C44" s="173">
        <v>0</v>
      </c>
      <c r="D44" s="173">
        <v>6550</v>
      </c>
      <c r="E44" s="173">
        <v>0</v>
      </c>
      <c r="F44" s="173">
        <v>0</v>
      </c>
      <c r="G44" s="173">
        <v>0</v>
      </c>
      <c r="H44" s="173">
        <v>0</v>
      </c>
      <c r="I44" s="173">
        <v>1950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317">
        <f t="shared" si="6"/>
        <v>14850</v>
      </c>
    </row>
    <row r="45" spans="1:18" s="147" customFormat="1" ht="21" customHeight="1">
      <c r="A45" s="318">
        <v>310500</v>
      </c>
      <c r="B45" s="173">
        <v>0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317">
        <f t="shared" si="6"/>
        <v>0</v>
      </c>
    </row>
    <row r="46" spans="1:18" s="147" customFormat="1" ht="21" customHeight="1">
      <c r="A46" s="318">
        <v>310600</v>
      </c>
      <c r="B46" s="173">
        <v>3603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16031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317">
        <f t="shared" si="6"/>
        <v>19634</v>
      </c>
    </row>
    <row r="47" spans="1:18" s="147" customFormat="1" ht="21" customHeight="1">
      <c r="A47" s="318">
        <v>310800</v>
      </c>
      <c r="B47" s="173">
        <v>0</v>
      </c>
      <c r="C47" s="173">
        <v>0</v>
      </c>
      <c r="D47" s="173">
        <v>0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0</v>
      </c>
      <c r="R47" s="317">
        <f t="shared" si="6"/>
        <v>0</v>
      </c>
    </row>
    <row r="48" spans="1:18" ht="18.75">
      <c r="A48" s="72" t="s">
        <v>17</v>
      </c>
      <c r="B48" s="73">
        <f aca="true" t="shared" si="7" ref="B48:Q48">SUM(B41:B47)</f>
        <v>9953</v>
      </c>
      <c r="C48" s="73">
        <f t="shared" si="7"/>
        <v>0</v>
      </c>
      <c r="D48" s="73">
        <f t="shared" si="7"/>
        <v>6550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21341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 t="shared" si="7"/>
        <v>0</v>
      </c>
      <c r="Q48" s="73">
        <f t="shared" si="7"/>
        <v>0</v>
      </c>
      <c r="R48" s="317">
        <f t="shared" si="6"/>
        <v>37844</v>
      </c>
    </row>
    <row r="49" spans="1:18" s="79" customFormat="1" ht="18.75">
      <c r="A49" s="72" t="s">
        <v>18</v>
      </c>
      <c r="B49" s="73">
        <f>22496+9245+7999+8150+9953</f>
        <v>57843</v>
      </c>
      <c r="C49" s="73">
        <v>0</v>
      </c>
      <c r="D49" s="73">
        <f>7783+10084+10831+9600+6550</f>
        <v>44848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68782+31969+6990+48520+21341</f>
        <v>177602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73">
        <f>0</f>
        <v>0</v>
      </c>
      <c r="R49" s="317">
        <f t="shared" si="6"/>
        <v>280293</v>
      </c>
    </row>
    <row r="50" spans="1:18" s="147" customFormat="1" ht="21" customHeight="1">
      <c r="A50" s="319">
        <v>532000</v>
      </c>
      <c r="B50" s="73"/>
      <c r="C50" s="320"/>
      <c r="D50" s="320"/>
      <c r="E50" s="74"/>
      <c r="F50" s="321"/>
      <c r="G50" s="321"/>
      <c r="H50" s="73"/>
      <c r="I50" s="74"/>
      <c r="J50" s="73"/>
      <c r="K50" s="317"/>
      <c r="L50" s="74"/>
      <c r="M50" s="74"/>
      <c r="N50" s="74"/>
      <c r="O50" s="317"/>
      <c r="P50" s="317"/>
      <c r="Q50" s="73"/>
      <c r="R50" s="317"/>
    </row>
    <row r="51" spans="1:18" s="147" customFormat="1" ht="21" customHeight="1">
      <c r="A51" s="318">
        <v>320100</v>
      </c>
      <c r="B51" s="173">
        <f>2800+11500</f>
        <v>14300</v>
      </c>
      <c r="C51" s="173">
        <v>0</v>
      </c>
      <c r="D51" s="173">
        <v>0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16500</v>
      </c>
      <c r="Q51" s="173">
        <v>0</v>
      </c>
      <c r="R51" s="317">
        <f aca="true" t="shared" si="8" ref="R51:R57">SUM(B51:Q51)</f>
        <v>30800</v>
      </c>
    </row>
    <row r="52" spans="1:18" s="147" customFormat="1" ht="21" customHeight="1">
      <c r="A52" s="318">
        <v>320200</v>
      </c>
      <c r="B52" s="173">
        <v>0</v>
      </c>
      <c r="C52" s="173">
        <v>0</v>
      </c>
      <c r="D52" s="173">
        <v>0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317">
        <f t="shared" si="8"/>
        <v>0</v>
      </c>
    </row>
    <row r="53" spans="1:18" s="147" customFormat="1" ht="21" customHeight="1">
      <c r="A53" s="318">
        <v>320300</v>
      </c>
      <c r="B53" s="173">
        <f>88314+360</f>
        <v>88674</v>
      </c>
      <c r="C53" s="173">
        <v>0</v>
      </c>
      <c r="D53" s="173">
        <v>0</v>
      </c>
      <c r="E53" s="173">
        <v>11200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2045.58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317">
        <f t="shared" si="8"/>
        <v>101919.58</v>
      </c>
    </row>
    <row r="54" spans="1:18" s="147" customFormat="1" ht="21" customHeight="1">
      <c r="A54" s="318">
        <v>320400</v>
      </c>
      <c r="B54" s="173">
        <v>3760</v>
      </c>
      <c r="C54" s="173">
        <v>0</v>
      </c>
      <c r="D54" s="173">
        <v>700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317">
        <f t="shared" si="8"/>
        <v>4460</v>
      </c>
    </row>
    <row r="55" spans="1:18" s="147" customFormat="1" ht="21" customHeight="1">
      <c r="A55" s="318">
        <v>320500</v>
      </c>
      <c r="B55" s="173">
        <v>0</v>
      </c>
      <c r="C55" s="173">
        <v>0</v>
      </c>
      <c r="D55" s="173">
        <v>0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317">
        <f t="shared" si="8"/>
        <v>0</v>
      </c>
    </row>
    <row r="56" spans="1:18" ht="18.75">
      <c r="A56" s="72" t="s">
        <v>17</v>
      </c>
      <c r="B56" s="73">
        <f aca="true" t="shared" si="9" ref="B56:Q56">SUM(B51:B55)</f>
        <v>106734</v>
      </c>
      <c r="C56" s="73">
        <f t="shared" si="9"/>
        <v>0</v>
      </c>
      <c r="D56" s="73">
        <f t="shared" si="9"/>
        <v>700</v>
      </c>
      <c r="E56" s="73">
        <f t="shared" si="9"/>
        <v>11200</v>
      </c>
      <c r="F56" s="73">
        <f t="shared" si="9"/>
        <v>0</v>
      </c>
      <c r="G56" s="73">
        <f t="shared" si="9"/>
        <v>0</v>
      </c>
      <c r="H56" s="73">
        <f t="shared" si="9"/>
        <v>0</v>
      </c>
      <c r="I56" s="73">
        <f t="shared" si="9"/>
        <v>0</v>
      </c>
      <c r="J56" s="73">
        <f t="shared" si="9"/>
        <v>0</v>
      </c>
      <c r="K56" s="73">
        <f t="shared" si="9"/>
        <v>0</v>
      </c>
      <c r="L56" s="73">
        <f t="shared" si="9"/>
        <v>2045.58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16500</v>
      </c>
      <c r="Q56" s="73">
        <f t="shared" si="9"/>
        <v>0</v>
      </c>
      <c r="R56" s="317">
        <f t="shared" si="8"/>
        <v>137179.58000000002</v>
      </c>
    </row>
    <row r="57" spans="1:18" s="79" customFormat="1" ht="18.75">
      <c r="A57" s="322" t="s">
        <v>18</v>
      </c>
      <c r="B57" s="73">
        <f>25559+14840+15842+37625+106734</f>
        <v>200600</v>
      </c>
      <c r="C57" s="73">
        <v>0</v>
      </c>
      <c r="D57" s="73">
        <f>500+700</f>
        <v>1200</v>
      </c>
      <c r="E57" s="73">
        <v>11200</v>
      </c>
      <c r="F57" s="73">
        <f>289380+21660</f>
        <v>311040</v>
      </c>
      <c r="G57" s="73">
        <v>4000</v>
      </c>
      <c r="H57" s="73">
        <v>0</v>
      </c>
      <c r="I57" s="73">
        <v>0</v>
      </c>
      <c r="J57" s="73">
        <f>0</f>
        <v>0</v>
      </c>
      <c r="K57" s="73">
        <v>0</v>
      </c>
      <c r="L57" s="73">
        <f>6802.5+146928+2688.38+2045.58</f>
        <v>158464.46</v>
      </c>
      <c r="M57" s="73">
        <v>0</v>
      </c>
      <c r="N57" s="73">
        <v>0</v>
      </c>
      <c r="O57" s="73">
        <v>0</v>
      </c>
      <c r="P57" s="73">
        <f>16500+16500+16500+16500</f>
        <v>66000</v>
      </c>
      <c r="Q57" s="73">
        <f>0</f>
        <v>0</v>
      </c>
      <c r="R57" s="317">
        <f t="shared" si="8"/>
        <v>752504.46</v>
      </c>
    </row>
    <row r="58" spans="1:18" s="76" customFormat="1" ht="21" customHeight="1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82"/>
    </row>
    <row r="59" spans="1:18" s="76" customFormat="1" ht="21" customHeight="1">
      <c r="A59" s="78"/>
      <c r="B59" s="75"/>
      <c r="C59" s="75"/>
      <c r="D59" s="569" t="s">
        <v>7</v>
      </c>
      <c r="E59" s="569"/>
      <c r="F59" s="85"/>
      <c r="G59" s="85"/>
      <c r="H59" s="85"/>
      <c r="I59" s="569" t="s">
        <v>97</v>
      </c>
      <c r="J59" s="569"/>
      <c r="K59" s="569"/>
      <c r="L59" s="80"/>
      <c r="M59" s="80"/>
      <c r="N59" s="80"/>
      <c r="O59" s="75"/>
      <c r="P59" s="75"/>
      <c r="Q59" s="75"/>
      <c r="R59" s="82"/>
    </row>
    <row r="60" spans="1:18" s="76" customFormat="1" ht="21" customHeight="1">
      <c r="A60" s="78"/>
      <c r="B60" s="75"/>
      <c r="C60" s="7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80"/>
      <c r="O60" s="75"/>
      <c r="P60" s="75"/>
      <c r="Q60" s="75"/>
      <c r="R60" s="82"/>
    </row>
    <row r="61" spans="1:18" s="76" customFormat="1" ht="21" customHeight="1">
      <c r="A61" s="78"/>
      <c r="B61" s="75"/>
      <c r="C61" s="7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80"/>
      <c r="O61" s="75"/>
      <c r="P61" s="75"/>
      <c r="Q61" s="75"/>
      <c r="R61" s="82"/>
    </row>
    <row r="62" spans="1:18" s="76" customFormat="1" ht="21" customHeight="1">
      <c r="A62" s="78"/>
      <c r="B62" s="75"/>
      <c r="C62" s="75"/>
      <c r="D62" s="569" t="s">
        <v>115</v>
      </c>
      <c r="E62" s="569"/>
      <c r="F62" s="75"/>
      <c r="G62" s="75"/>
      <c r="H62" s="75"/>
      <c r="I62" s="569" t="s">
        <v>269</v>
      </c>
      <c r="J62" s="569"/>
      <c r="K62" s="569"/>
      <c r="L62" s="80"/>
      <c r="M62" s="80"/>
      <c r="N62" s="80"/>
      <c r="O62" s="75"/>
      <c r="P62" s="75"/>
      <c r="Q62" s="75"/>
      <c r="R62" s="82"/>
    </row>
    <row r="63" spans="1:18" s="76" customFormat="1" ht="21" customHeight="1">
      <c r="A63" s="78"/>
      <c r="B63" s="75"/>
      <c r="C63" s="75"/>
      <c r="D63" s="569" t="s">
        <v>281</v>
      </c>
      <c r="E63" s="569"/>
      <c r="F63" s="85"/>
      <c r="G63" s="85"/>
      <c r="H63" s="85"/>
      <c r="I63" s="569" t="s">
        <v>96</v>
      </c>
      <c r="J63" s="569"/>
      <c r="K63" s="569"/>
      <c r="L63" s="80"/>
      <c r="M63" s="80"/>
      <c r="N63" s="80"/>
      <c r="O63" s="75"/>
      <c r="P63" s="75"/>
      <c r="Q63" s="75"/>
      <c r="R63" s="82"/>
    </row>
    <row r="64" spans="1:18" s="76" customFormat="1" ht="21" customHeight="1">
      <c r="A64" s="78"/>
      <c r="B64" s="75"/>
      <c r="C64" s="75"/>
      <c r="D64" s="569"/>
      <c r="E64" s="569"/>
      <c r="F64" s="85"/>
      <c r="G64" s="85"/>
      <c r="H64" s="85"/>
      <c r="I64" s="569"/>
      <c r="J64" s="569"/>
      <c r="K64" s="569"/>
      <c r="L64" s="80"/>
      <c r="M64" s="80"/>
      <c r="N64" s="80"/>
      <c r="O64" s="75"/>
      <c r="P64" s="75"/>
      <c r="Q64" s="75"/>
      <c r="R64" s="82"/>
    </row>
    <row r="65" spans="1:18" s="76" customFormat="1" ht="21" customHeight="1">
      <c r="A65" s="78"/>
      <c r="B65" s="75"/>
      <c r="C65" s="7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80"/>
      <c r="O65" s="75"/>
      <c r="P65" s="75"/>
      <c r="Q65" s="75"/>
      <c r="R65" s="82"/>
    </row>
    <row r="66" spans="1:18" s="76" customFormat="1" ht="18.75">
      <c r="A66" s="78"/>
      <c r="B66" s="75"/>
      <c r="C66" s="7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80"/>
      <c r="O66" s="75"/>
      <c r="P66" s="75"/>
      <c r="Q66" s="75"/>
      <c r="R66" s="82"/>
    </row>
    <row r="67" spans="1:18" s="76" customFormat="1" ht="18.75">
      <c r="A67" s="78"/>
      <c r="B67" s="75"/>
      <c r="C67" s="7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80"/>
      <c r="O67" s="75"/>
      <c r="P67" s="75"/>
      <c r="Q67" s="75"/>
      <c r="R67" s="82"/>
    </row>
    <row r="68" spans="1:18" s="76" customFormat="1" ht="18.75">
      <c r="A68" s="78"/>
      <c r="B68" s="75"/>
      <c r="C68" s="7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80"/>
      <c r="O68" s="75"/>
      <c r="P68" s="75"/>
      <c r="Q68" s="75"/>
      <c r="R68" s="82"/>
    </row>
    <row r="69" spans="1:18" s="76" customFormat="1" ht="18.75">
      <c r="A69" s="78"/>
      <c r="B69" s="75"/>
      <c r="C69" s="7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80"/>
      <c r="O69" s="75"/>
      <c r="P69" s="75"/>
      <c r="Q69" s="75"/>
      <c r="R69" s="82"/>
    </row>
    <row r="70" spans="1:18" s="76" customFormat="1" ht="18.75">
      <c r="A70" s="78"/>
      <c r="B70" s="75"/>
      <c r="C70" s="7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80"/>
      <c r="O70" s="75"/>
      <c r="P70" s="75"/>
      <c r="Q70" s="75"/>
      <c r="R70" s="82"/>
    </row>
    <row r="71" spans="1:18" s="76" customFormat="1" ht="18.75">
      <c r="A71" s="78"/>
      <c r="B71" s="75"/>
      <c r="C71" s="7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80"/>
      <c r="O71" s="75"/>
      <c r="P71" s="75"/>
      <c r="Q71" s="75"/>
      <c r="R71" s="82"/>
    </row>
    <row r="72" spans="1:18" s="76" customFormat="1" ht="18.75">
      <c r="A72" s="78"/>
      <c r="B72" s="75"/>
      <c r="C72" s="7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80"/>
      <c r="O72" s="75"/>
      <c r="P72" s="75"/>
      <c r="Q72" s="75"/>
      <c r="R72" s="82"/>
    </row>
    <row r="73" spans="1:18" ht="21" customHeight="1" thickBot="1">
      <c r="A73" s="570" t="s">
        <v>68</v>
      </c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</row>
    <row r="74" spans="1:18" s="62" customFormat="1" ht="21.75" customHeight="1">
      <c r="A74" s="57" t="s">
        <v>14</v>
      </c>
      <c r="B74" s="566" t="s">
        <v>78</v>
      </c>
      <c r="C74" s="567"/>
      <c r="D74" s="568"/>
      <c r="E74" s="426" t="s">
        <v>81</v>
      </c>
      <c r="F74" s="58" t="s">
        <v>87</v>
      </c>
      <c r="G74" s="58" t="s">
        <v>88</v>
      </c>
      <c r="H74" s="59" t="s">
        <v>91</v>
      </c>
      <c r="I74" s="566" t="s">
        <v>82</v>
      </c>
      <c r="J74" s="568"/>
      <c r="K74" s="60" t="s">
        <v>92</v>
      </c>
      <c r="L74" s="566" t="s">
        <v>83</v>
      </c>
      <c r="M74" s="567"/>
      <c r="N74" s="568"/>
      <c r="O74" s="60" t="s">
        <v>95</v>
      </c>
      <c r="P74" s="60" t="s">
        <v>111</v>
      </c>
      <c r="Q74" s="58" t="s">
        <v>76</v>
      </c>
      <c r="R74" s="61" t="s">
        <v>15</v>
      </c>
    </row>
    <row r="75" spans="1:18" s="62" customFormat="1" ht="19.5" thickBot="1">
      <c r="A75" s="63" t="s">
        <v>16</v>
      </c>
      <c r="B75" s="65" t="s">
        <v>79</v>
      </c>
      <c r="C75" s="66" t="s">
        <v>323</v>
      </c>
      <c r="D75" s="66" t="s">
        <v>80</v>
      </c>
      <c r="E75" s="64" t="s">
        <v>72</v>
      </c>
      <c r="F75" s="136" t="s">
        <v>106</v>
      </c>
      <c r="G75" s="65" t="s">
        <v>89</v>
      </c>
      <c r="H75" s="68" t="s">
        <v>263</v>
      </c>
      <c r="I75" s="64" t="s">
        <v>74</v>
      </c>
      <c r="J75" s="64" t="s">
        <v>75</v>
      </c>
      <c r="K75" s="69" t="s">
        <v>262</v>
      </c>
      <c r="L75" s="66" t="s">
        <v>127</v>
      </c>
      <c r="M75" s="66" t="s">
        <v>84</v>
      </c>
      <c r="N75" s="67" t="s">
        <v>85</v>
      </c>
      <c r="O75" s="69" t="s">
        <v>94</v>
      </c>
      <c r="P75" s="69" t="s">
        <v>112</v>
      </c>
      <c r="Q75" s="64" t="s">
        <v>77</v>
      </c>
      <c r="R75" s="70"/>
    </row>
    <row r="76" spans="1:18" s="147" customFormat="1" ht="21" customHeight="1">
      <c r="A76" s="319">
        <v>533000</v>
      </c>
      <c r="B76" s="314"/>
      <c r="C76" s="314"/>
      <c r="D76" s="315"/>
      <c r="E76" s="73"/>
      <c r="F76" s="317"/>
      <c r="G76" s="323"/>
      <c r="H76" s="313"/>
      <c r="I76" s="316"/>
      <c r="J76" s="73"/>
      <c r="K76" s="317"/>
      <c r="L76" s="73"/>
      <c r="M76" s="73"/>
      <c r="N76" s="73"/>
      <c r="O76" s="317"/>
      <c r="P76" s="313"/>
      <c r="Q76" s="73"/>
      <c r="R76" s="317"/>
    </row>
    <row r="77" spans="1:18" s="147" customFormat="1" ht="21" customHeight="1">
      <c r="A77" s="324">
        <v>330100</v>
      </c>
      <c r="B77" s="173">
        <v>0</v>
      </c>
      <c r="C77" s="173">
        <v>0</v>
      </c>
      <c r="D77" s="173">
        <v>0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317">
        <f aca="true" t="shared" si="10" ref="R77:R91">SUM(B77:Q77)</f>
        <v>0</v>
      </c>
    </row>
    <row r="78" spans="1:18" s="147" customFormat="1" ht="21" customHeight="1">
      <c r="A78" s="324">
        <v>330200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0</v>
      </c>
      <c r="H78" s="173">
        <v>0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  <c r="Q78" s="173">
        <v>0</v>
      </c>
      <c r="R78" s="317">
        <f t="shared" si="10"/>
        <v>0</v>
      </c>
    </row>
    <row r="79" spans="1:18" s="147" customFormat="1" ht="21" customHeight="1">
      <c r="A79" s="318">
        <v>330300</v>
      </c>
      <c r="B79" s="173">
        <v>0</v>
      </c>
      <c r="C79" s="173">
        <v>0</v>
      </c>
      <c r="D79" s="173"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99400</v>
      </c>
      <c r="Q79" s="173">
        <v>0</v>
      </c>
      <c r="R79" s="317">
        <f t="shared" si="10"/>
        <v>99400</v>
      </c>
    </row>
    <row r="80" spans="1:18" s="147" customFormat="1" ht="21" customHeight="1">
      <c r="A80" s="318">
        <v>330600</v>
      </c>
      <c r="B80" s="173">
        <v>0</v>
      </c>
      <c r="C80" s="173">
        <v>0</v>
      </c>
      <c r="D80" s="173">
        <v>0</v>
      </c>
      <c r="E80" s="173"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317">
        <f t="shared" si="10"/>
        <v>0</v>
      </c>
    </row>
    <row r="81" spans="1:18" s="147" customFormat="1" ht="21" customHeight="1">
      <c r="A81" s="318">
        <v>330700</v>
      </c>
      <c r="B81" s="173">
        <v>0</v>
      </c>
      <c r="C81" s="173">
        <v>0</v>
      </c>
      <c r="D81" s="173">
        <v>0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317">
        <f t="shared" si="10"/>
        <v>0</v>
      </c>
    </row>
    <row r="82" spans="1:18" s="147" customFormat="1" ht="21" customHeight="1">
      <c r="A82" s="318">
        <v>330800</v>
      </c>
      <c r="B82" s="173">
        <v>8215</v>
      </c>
      <c r="C82" s="173">
        <v>0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317">
        <f t="shared" si="10"/>
        <v>8215</v>
      </c>
    </row>
    <row r="83" spans="1:18" s="147" customFormat="1" ht="21" customHeight="1">
      <c r="A83" s="318">
        <v>330900</v>
      </c>
      <c r="B83" s="173">
        <v>0</v>
      </c>
      <c r="C83" s="173">
        <v>0</v>
      </c>
      <c r="D83" s="173">
        <v>0</v>
      </c>
      <c r="E83" s="173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73">
        <v>0</v>
      </c>
      <c r="Q83" s="173">
        <v>0</v>
      </c>
      <c r="R83" s="317">
        <f t="shared" si="10"/>
        <v>0</v>
      </c>
    </row>
    <row r="84" spans="1:18" s="147" customFormat="1" ht="21" customHeight="1">
      <c r="A84" s="318">
        <v>331000</v>
      </c>
      <c r="B84" s="173">
        <v>0</v>
      </c>
      <c r="C84" s="173">
        <v>0</v>
      </c>
      <c r="D84" s="173">
        <v>0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0</v>
      </c>
      <c r="R84" s="317">
        <f t="shared" si="10"/>
        <v>0</v>
      </c>
    </row>
    <row r="85" spans="1:18" s="147" customFormat="1" ht="21" customHeight="1">
      <c r="A85" s="318">
        <v>331100</v>
      </c>
      <c r="B85" s="173">
        <v>0</v>
      </c>
      <c r="C85" s="173">
        <v>0</v>
      </c>
      <c r="D85" s="173">
        <v>0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317">
        <f t="shared" si="10"/>
        <v>0</v>
      </c>
    </row>
    <row r="86" spans="1:18" s="147" customFormat="1" ht="21" customHeight="1">
      <c r="A86" s="318">
        <v>331400</v>
      </c>
      <c r="B86" s="173">
        <v>0</v>
      </c>
      <c r="C86" s="173">
        <v>0</v>
      </c>
      <c r="D86" s="173"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317">
        <f t="shared" si="10"/>
        <v>0</v>
      </c>
    </row>
    <row r="87" spans="1:18" s="147" customFormat="1" ht="21" customHeight="1">
      <c r="A87" s="318">
        <v>331700</v>
      </c>
      <c r="B87" s="173">
        <v>329</v>
      </c>
      <c r="C87" s="173">
        <v>0</v>
      </c>
      <c r="D87" s="173">
        <v>0</v>
      </c>
      <c r="E87" s="173">
        <v>0</v>
      </c>
      <c r="F87" s="173">
        <v>0</v>
      </c>
      <c r="G87" s="173">
        <f>13200-13200</f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317">
        <f t="shared" si="10"/>
        <v>329</v>
      </c>
    </row>
    <row r="88" spans="1:18" s="147" customFormat="1" ht="21" customHeight="1">
      <c r="A88" s="318">
        <v>331800</v>
      </c>
      <c r="B88" s="173">
        <v>0</v>
      </c>
      <c r="C88" s="173">
        <v>0</v>
      </c>
      <c r="D88" s="173">
        <v>0</v>
      </c>
      <c r="E88" s="173">
        <v>0</v>
      </c>
      <c r="F88" s="173">
        <v>0</v>
      </c>
      <c r="G88" s="173">
        <f>13200-13200</f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317">
        <f t="shared" si="10"/>
        <v>0</v>
      </c>
    </row>
    <row r="89" spans="1:18" s="147" customFormat="1" ht="21" customHeight="1">
      <c r="A89" s="318">
        <v>331900</v>
      </c>
      <c r="B89" s="173">
        <v>0</v>
      </c>
      <c r="C89" s="173">
        <v>0</v>
      </c>
      <c r="D89" s="173">
        <v>0</v>
      </c>
      <c r="E89" s="173">
        <v>0</v>
      </c>
      <c r="F89" s="173">
        <v>0</v>
      </c>
      <c r="G89" s="173">
        <f>13200-13200</f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317">
        <f t="shared" si="10"/>
        <v>0</v>
      </c>
    </row>
    <row r="90" spans="1:18" ht="18.75">
      <c r="A90" s="72" t="s">
        <v>17</v>
      </c>
      <c r="B90" s="73">
        <f aca="true" t="shared" si="11" ref="B90:Q90">SUM(B77:B89)</f>
        <v>8544</v>
      </c>
      <c r="C90" s="73">
        <f t="shared" si="11"/>
        <v>0</v>
      </c>
      <c r="D90" s="73">
        <f t="shared" si="11"/>
        <v>0</v>
      </c>
      <c r="E90" s="73">
        <f t="shared" si="11"/>
        <v>0</v>
      </c>
      <c r="F90" s="73">
        <f t="shared" si="11"/>
        <v>0</v>
      </c>
      <c r="G90" s="73">
        <f t="shared" si="11"/>
        <v>0</v>
      </c>
      <c r="H90" s="73">
        <f t="shared" si="11"/>
        <v>0</v>
      </c>
      <c r="I90" s="73">
        <f t="shared" si="11"/>
        <v>0</v>
      </c>
      <c r="J90" s="73">
        <f t="shared" si="11"/>
        <v>0</v>
      </c>
      <c r="K90" s="73">
        <f t="shared" si="11"/>
        <v>0</v>
      </c>
      <c r="L90" s="73">
        <f t="shared" si="11"/>
        <v>0</v>
      </c>
      <c r="M90" s="73">
        <f t="shared" si="11"/>
        <v>0</v>
      </c>
      <c r="N90" s="73">
        <f t="shared" si="11"/>
        <v>0</v>
      </c>
      <c r="O90" s="73">
        <f t="shared" si="11"/>
        <v>0</v>
      </c>
      <c r="P90" s="73">
        <f t="shared" si="11"/>
        <v>99400</v>
      </c>
      <c r="Q90" s="73">
        <f t="shared" si="11"/>
        <v>0</v>
      </c>
      <c r="R90" s="317">
        <f t="shared" si="10"/>
        <v>107944</v>
      </c>
    </row>
    <row r="91" spans="1:18" s="79" customFormat="1" ht="18.75">
      <c r="A91" s="72" t="s">
        <v>18</v>
      </c>
      <c r="B91" s="73">
        <f>22519+20129+68887+8544</f>
        <v>120079</v>
      </c>
      <c r="C91" s="73">
        <v>0</v>
      </c>
      <c r="D91" s="73">
        <f>2889.8+8100+29695</f>
        <v>40684.8</v>
      </c>
      <c r="E91" s="73">
        <f>0</f>
        <v>0</v>
      </c>
      <c r="F91" s="73">
        <v>0</v>
      </c>
      <c r="G91" s="73">
        <v>0</v>
      </c>
      <c r="H91" s="73">
        <f>0</f>
        <v>0</v>
      </c>
      <c r="I91" s="73">
        <f>2290+15015</f>
        <v>17305</v>
      </c>
      <c r="J91" s="73">
        <f>0</f>
        <v>0</v>
      </c>
      <c r="K91" s="73">
        <f>0</f>
        <v>0</v>
      </c>
      <c r="L91" s="73">
        <v>0</v>
      </c>
      <c r="M91" s="73">
        <v>0</v>
      </c>
      <c r="N91" s="73">
        <f>0</f>
        <v>0</v>
      </c>
      <c r="O91" s="73">
        <v>0</v>
      </c>
      <c r="P91" s="73">
        <f>39350+91375+26097+99400</f>
        <v>256222</v>
      </c>
      <c r="Q91" s="73">
        <f>0</f>
        <v>0</v>
      </c>
      <c r="R91" s="317">
        <f t="shared" si="10"/>
        <v>434290.8</v>
      </c>
    </row>
    <row r="92" spans="1:18" s="147" customFormat="1" ht="21" customHeight="1">
      <c r="A92" s="319">
        <v>534000</v>
      </c>
      <c r="B92" s="321"/>
      <c r="C92" s="321"/>
      <c r="D92" s="74"/>
      <c r="E92" s="74"/>
      <c r="F92" s="317"/>
      <c r="G92" s="74"/>
      <c r="H92" s="74"/>
      <c r="I92" s="74"/>
      <c r="J92" s="73"/>
      <c r="K92" s="317"/>
      <c r="L92" s="74"/>
      <c r="M92" s="74"/>
      <c r="N92" s="74"/>
      <c r="O92" s="317"/>
      <c r="P92" s="74"/>
      <c r="Q92" s="73"/>
      <c r="R92" s="317"/>
    </row>
    <row r="93" spans="1:18" s="147" customFormat="1" ht="21" customHeight="1">
      <c r="A93" s="318">
        <v>340100</v>
      </c>
      <c r="B93" s="173">
        <v>6936.75</v>
      </c>
      <c r="C93" s="173">
        <v>0</v>
      </c>
      <c r="D93" s="173">
        <v>0</v>
      </c>
      <c r="E93" s="173">
        <v>0</v>
      </c>
      <c r="F93" s="173">
        <v>0</v>
      </c>
      <c r="G93" s="173">
        <v>0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17441.47</v>
      </c>
      <c r="Q93" s="173">
        <v>0</v>
      </c>
      <c r="R93" s="317">
        <f aca="true" t="shared" si="12" ref="R93:R98">SUM(B93:Q93)</f>
        <v>24378.22</v>
      </c>
    </row>
    <row r="94" spans="1:18" s="147" customFormat="1" ht="21" customHeight="1">
      <c r="A94" s="318">
        <v>340300</v>
      </c>
      <c r="B94" s="173">
        <v>395.58</v>
      </c>
      <c r="C94" s="173">
        <v>0</v>
      </c>
      <c r="D94" s="173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0</v>
      </c>
      <c r="Q94" s="173">
        <v>0</v>
      </c>
      <c r="R94" s="317">
        <f t="shared" si="12"/>
        <v>395.58</v>
      </c>
    </row>
    <row r="95" spans="1:18" s="147" customFormat="1" ht="21" customHeight="1">
      <c r="A95" s="318">
        <v>340400</v>
      </c>
      <c r="B95" s="173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  <c r="Q95" s="173">
        <v>0</v>
      </c>
      <c r="R95" s="317">
        <f t="shared" si="12"/>
        <v>0</v>
      </c>
    </row>
    <row r="96" spans="1:18" s="147" customFormat="1" ht="21" customHeight="1">
      <c r="A96" s="318">
        <v>340500</v>
      </c>
      <c r="B96" s="173">
        <v>6955</v>
      </c>
      <c r="C96" s="173">
        <v>0</v>
      </c>
      <c r="D96" s="173">
        <v>0</v>
      </c>
      <c r="E96" s="173">
        <v>0</v>
      </c>
      <c r="F96" s="173">
        <v>0</v>
      </c>
      <c r="G96" s="173">
        <v>0</v>
      </c>
      <c r="H96" s="173">
        <v>0</v>
      </c>
      <c r="I96" s="173">
        <v>0</v>
      </c>
      <c r="J96" s="173">
        <v>0</v>
      </c>
      <c r="K96" s="173">
        <v>0</v>
      </c>
      <c r="L96" s="173">
        <v>0</v>
      </c>
      <c r="M96" s="173">
        <v>0</v>
      </c>
      <c r="N96" s="173">
        <v>0</v>
      </c>
      <c r="O96" s="173">
        <v>0</v>
      </c>
      <c r="P96" s="173">
        <v>0</v>
      </c>
      <c r="Q96" s="173">
        <v>0</v>
      </c>
      <c r="R96" s="317">
        <f t="shared" si="12"/>
        <v>6955</v>
      </c>
    </row>
    <row r="97" spans="1:18" ht="18.75">
      <c r="A97" s="72" t="s">
        <v>17</v>
      </c>
      <c r="B97" s="74">
        <f aca="true" t="shared" si="13" ref="B97:Q97">SUM(B93:B96)</f>
        <v>14287.33</v>
      </c>
      <c r="C97" s="74">
        <f t="shared" si="13"/>
        <v>0</v>
      </c>
      <c r="D97" s="74">
        <f t="shared" si="13"/>
        <v>0</v>
      </c>
      <c r="E97" s="74">
        <f t="shared" si="13"/>
        <v>0</v>
      </c>
      <c r="F97" s="74">
        <f t="shared" si="13"/>
        <v>0</v>
      </c>
      <c r="G97" s="74">
        <f t="shared" si="13"/>
        <v>0</v>
      </c>
      <c r="H97" s="74">
        <f t="shared" si="13"/>
        <v>0</v>
      </c>
      <c r="I97" s="74">
        <f t="shared" si="13"/>
        <v>0</v>
      </c>
      <c r="J97" s="74">
        <f t="shared" si="13"/>
        <v>0</v>
      </c>
      <c r="K97" s="74">
        <f t="shared" si="13"/>
        <v>0</v>
      </c>
      <c r="L97" s="74">
        <f t="shared" si="13"/>
        <v>0</v>
      </c>
      <c r="M97" s="74">
        <f t="shared" si="13"/>
        <v>0</v>
      </c>
      <c r="N97" s="74">
        <f t="shared" si="13"/>
        <v>0</v>
      </c>
      <c r="O97" s="74">
        <f t="shared" si="13"/>
        <v>0</v>
      </c>
      <c r="P97" s="74">
        <f t="shared" si="13"/>
        <v>17441.47</v>
      </c>
      <c r="Q97" s="74">
        <f t="shared" si="13"/>
        <v>0</v>
      </c>
      <c r="R97" s="317">
        <f t="shared" si="12"/>
        <v>31728.800000000003</v>
      </c>
    </row>
    <row r="98" spans="1:18" s="79" customFormat="1" ht="18.75">
      <c r="A98" s="72" t="s">
        <v>18</v>
      </c>
      <c r="B98" s="73">
        <f>9732.93+15251.55+9055.35+22018.08+14287.33</f>
        <v>70345.24</v>
      </c>
      <c r="C98" s="73">
        <v>0</v>
      </c>
      <c r="D98" s="73">
        <f>0</f>
        <v>0</v>
      </c>
      <c r="E98" s="73">
        <f>0</f>
        <v>0</v>
      </c>
      <c r="F98" s="73">
        <f>0</f>
        <v>0</v>
      </c>
      <c r="G98" s="73">
        <f>0</f>
        <v>0</v>
      </c>
      <c r="H98" s="73">
        <f>0</f>
        <v>0</v>
      </c>
      <c r="I98" s="73">
        <v>0</v>
      </c>
      <c r="J98" s="73">
        <f>0</f>
        <v>0</v>
      </c>
      <c r="K98" s="73">
        <f>0</f>
        <v>0</v>
      </c>
      <c r="L98" s="73">
        <f>0</f>
        <v>0</v>
      </c>
      <c r="M98" s="73">
        <f>0</f>
        <v>0</v>
      </c>
      <c r="N98" s="73">
        <f>0</f>
        <v>0</v>
      </c>
      <c r="O98" s="73">
        <f>0</f>
        <v>0</v>
      </c>
      <c r="P98" s="73">
        <f>16886.31+17814.72+17437.94+18206.58+17441.47</f>
        <v>87787.02</v>
      </c>
      <c r="Q98" s="73">
        <f>0</f>
        <v>0</v>
      </c>
      <c r="R98" s="317">
        <f t="shared" si="12"/>
        <v>158132.26</v>
      </c>
    </row>
    <row r="99" spans="1:18" s="79" customFormat="1" ht="21" customHeight="1">
      <c r="A99" s="78"/>
      <c r="B99" s="325"/>
      <c r="C99" s="75"/>
      <c r="D99" s="569" t="s">
        <v>7</v>
      </c>
      <c r="E99" s="569"/>
      <c r="F99" s="85"/>
      <c r="G99" s="85"/>
      <c r="H99" s="208"/>
      <c r="I99" s="569" t="s">
        <v>97</v>
      </c>
      <c r="J99" s="569"/>
      <c r="K99" s="569"/>
      <c r="L99" s="325"/>
      <c r="M99" s="325"/>
      <c r="N99" s="325"/>
      <c r="O99" s="325"/>
      <c r="P99" s="325"/>
      <c r="Q99" s="325"/>
      <c r="R99" s="326"/>
    </row>
    <row r="100" spans="1:18" s="79" customFormat="1" ht="21" customHeight="1">
      <c r="A100" s="78"/>
      <c r="B100" s="80"/>
      <c r="C100" s="80"/>
      <c r="D100" s="85"/>
      <c r="E100" s="85"/>
      <c r="F100" s="85"/>
      <c r="G100" s="85"/>
      <c r="H100" s="85"/>
      <c r="I100" s="85"/>
      <c r="J100" s="85"/>
      <c r="K100" s="85"/>
      <c r="L100" s="80"/>
      <c r="M100" s="80"/>
      <c r="N100" s="80"/>
      <c r="O100" s="80"/>
      <c r="P100" s="80"/>
      <c r="Q100" s="80"/>
      <c r="R100" s="83"/>
    </row>
    <row r="101" spans="1:18" s="79" customFormat="1" ht="21" customHeight="1">
      <c r="A101" s="78"/>
      <c r="B101" s="80"/>
      <c r="C101" s="80"/>
      <c r="D101" s="85"/>
      <c r="E101" s="85"/>
      <c r="F101" s="85"/>
      <c r="G101" s="85"/>
      <c r="H101" s="80"/>
      <c r="I101" s="85"/>
      <c r="J101" s="75"/>
      <c r="K101" s="75"/>
      <c r="L101" s="80"/>
      <c r="M101" s="80"/>
      <c r="N101" s="80"/>
      <c r="O101" s="80"/>
      <c r="P101" s="80"/>
      <c r="Q101" s="80"/>
      <c r="R101" s="83"/>
    </row>
    <row r="102" spans="1:18" s="79" customFormat="1" ht="21" customHeight="1">
      <c r="A102" s="78"/>
      <c r="B102" s="80"/>
      <c r="C102" s="80"/>
      <c r="D102" s="569" t="s">
        <v>114</v>
      </c>
      <c r="E102" s="569"/>
      <c r="F102" s="85"/>
      <c r="G102" s="85"/>
      <c r="H102" s="85"/>
      <c r="I102" s="569" t="s">
        <v>269</v>
      </c>
      <c r="J102" s="569"/>
      <c r="K102" s="569"/>
      <c r="L102" s="80"/>
      <c r="M102" s="80"/>
      <c r="N102" s="80"/>
      <c r="O102" s="80"/>
      <c r="P102" s="80"/>
      <c r="Q102" s="80"/>
      <c r="R102" s="83"/>
    </row>
    <row r="103" spans="1:18" s="79" customFormat="1" ht="21" customHeight="1">
      <c r="A103" s="78"/>
      <c r="B103" s="80"/>
      <c r="C103" s="80"/>
      <c r="D103" s="569" t="s">
        <v>281</v>
      </c>
      <c r="E103" s="569"/>
      <c r="F103" s="85"/>
      <c r="G103" s="85"/>
      <c r="H103" s="85"/>
      <c r="I103" s="569" t="s">
        <v>96</v>
      </c>
      <c r="J103" s="569"/>
      <c r="K103" s="569"/>
      <c r="L103" s="80"/>
      <c r="M103" s="80"/>
      <c r="N103" s="80"/>
      <c r="O103" s="80"/>
      <c r="P103" s="80"/>
      <c r="Q103" s="80"/>
      <c r="R103" s="83"/>
    </row>
    <row r="104" spans="1:18" s="79" customFormat="1" ht="21" customHeight="1">
      <c r="A104" s="78"/>
      <c r="B104" s="80"/>
      <c r="C104" s="80"/>
      <c r="D104" s="85"/>
      <c r="E104" s="85"/>
      <c r="F104" s="85"/>
      <c r="G104" s="85"/>
      <c r="H104" s="85"/>
      <c r="I104" s="569"/>
      <c r="J104" s="569"/>
      <c r="K104" s="569"/>
      <c r="L104" s="80"/>
      <c r="M104" s="80"/>
      <c r="N104" s="80"/>
      <c r="O104" s="80"/>
      <c r="P104" s="80"/>
      <c r="Q104" s="80"/>
      <c r="R104" s="83"/>
    </row>
    <row r="105" spans="1:18" s="79" customFormat="1" ht="18.75">
      <c r="A105" s="78"/>
      <c r="B105" s="80"/>
      <c r="C105" s="80"/>
      <c r="D105" s="85"/>
      <c r="E105" s="85"/>
      <c r="F105" s="85"/>
      <c r="H105" s="85"/>
      <c r="I105" s="80"/>
      <c r="J105" s="80"/>
      <c r="K105" s="80"/>
      <c r="L105" s="80"/>
      <c r="M105" s="80"/>
      <c r="N105" s="80"/>
      <c r="O105" s="80"/>
      <c r="P105" s="80"/>
      <c r="Q105" s="80"/>
      <c r="R105" s="83"/>
    </row>
    <row r="106" spans="1:18" s="79" customFormat="1" ht="18.75">
      <c r="A106" s="78"/>
      <c r="B106" s="80"/>
      <c r="C106" s="80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0"/>
      <c r="R106" s="83"/>
    </row>
    <row r="107" spans="1:18" s="79" customFormat="1" ht="18.75">
      <c r="A107" s="78"/>
      <c r="B107" s="80"/>
      <c r="C107" s="80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0"/>
      <c r="R107" s="83"/>
    </row>
    <row r="108" spans="1:18" s="79" customFormat="1" ht="18.75">
      <c r="A108" s="78"/>
      <c r="B108" s="80"/>
      <c r="C108" s="80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0"/>
      <c r="R108" s="83"/>
    </row>
    <row r="109" spans="1:18" ht="21" customHeight="1" thickBot="1">
      <c r="A109" s="570" t="s">
        <v>204</v>
      </c>
      <c r="B109" s="570"/>
      <c r="C109" s="570"/>
      <c r="D109" s="570"/>
      <c r="E109" s="570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</row>
    <row r="110" spans="1:18" s="62" customFormat="1" ht="21.75" customHeight="1">
      <c r="A110" s="57" t="s">
        <v>14</v>
      </c>
      <c r="B110" s="566" t="s">
        <v>78</v>
      </c>
      <c r="C110" s="567"/>
      <c r="D110" s="568"/>
      <c r="E110" s="426" t="s">
        <v>81</v>
      </c>
      <c r="F110" s="58" t="s">
        <v>87</v>
      </c>
      <c r="G110" s="58" t="s">
        <v>88</v>
      </c>
      <c r="H110" s="59" t="s">
        <v>91</v>
      </c>
      <c r="I110" s="566" t="s">
        <v>82</v>
      </c>
      <c r="J110" s="568"/>
      <c r="K110" s="60" t="s">
        <v>92</v>
      </c>
      <c r="L110" s="566" t="s">
        <v>83</v>
      </c>
      <c r="M110" s="567"/>
      <c r="N110" s="568"/>
      <c r="O110" s="60" t="s">
        <v>95</v>
      </c>
      <c r="P110" s="60" t="s">
        <v>111</v>
      </c>
      <c r="Q110" s="58" t="s">
        <v>76</v>
      </c>
      <c r="R110" s="61" t="s">
        <v>15</v>
      </c>
    </row>
    <row r="111" spans="1:18" s="62" customFormat="1" ht="19.5" thickBot="1">
      <c r="A111" s="63" t="s">
        <v>16</v>
      </c>
      <c r="B111" s="65" t="s">
        <v>79</v>
      </c>
      <c r="C111" s="66" t="s">
        <v>323</v>
      </c>
      <c r="D111" s="66" t="s">
        <v>80</v>
      </c>
      <c r="E111" s="64" t="s">
        <v>72</v>
      </c>
      <c r="F111" s="136" t="s">
        <v>106</v>
      </c>
      <c r="G111" s="65" t="s">
        <v>89</v>
      </c>
      <c r="H111" s="68" t="s">
        <v>263</v>
      </c>
      <c r="I111" s="64" t="s">
        <v>74</v>
      </c>
      <c r="J111" s="64" t="s">
        <v>75</v>
      </c>
      <c r="K111" s="69" t="s">
        <v>262</v>
      </c>
      <c r="L111" s="66" t="s">
        <v>127</v>
      </c>
      <c r="M111" s="66" t="s">
        <v>84</v>
      </c>
      <c r="N111" s="67" t="s">
        <v>85</v>
      </c>
      <c r="O111" s="69" t="s">
        <v>94</v>
      </c>
      <c r="P111" s="69" t="s">
        <v>112</v>
      </c>
      <c r="Q111" s="64" t="s">
        <v>77</v>
      </c>
      <c r="R111" s="70"/>
    </row>
    <row r="112" spans="1:18" s="147" customFormat="1" ht="21" customHeight="1">
      <c r="A112" s="319">
        <v>541000</v>
      </c>
      <c r="B112" s="321"/>
      <c r="C112" s="321"/>
      <c r="D112" s="74"/>
      <c r="E112" s="74"/>
      <c r="F112" s="317"/>
      <c r="G112" s="74"/>
      <c r="H112" s="74"/>
      <c r="I112" s="74"/>
      <c r="J112" s="73"/>
      <c r="K112" s="317"/>
      <c r="L112" s="74"/>
      <c r="M112" s="74"/>
      <c r="N112" s="74"/>
      <c r="O112" s="317"/>
      <c r="P112" s="74"/>
      <c r="Q112" s="73"/>
      <c r="R112" s="317"/>
    </row>
    <row r="113" spans="1:18" s="147" customFormat="1" ht="21" customHeight="1">
      <c r="A113" s="324">
        <v>410100</v>
      </c>
      <c r="B113" s="331">
        <v>0</v>
      </c>
      <c r="C113" s="331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0</v>
      </c>
      <c r="I113" s="173">
        <v>0</v>
      </c>
      <c r="J113" s="173">
        <v>0</v>
      </c>
      <c r="K113" s="173">
        <v>0</v>
      </c>
      <c r="L113" s="317">
        <v>0</v>
      </c>
      <c r="M113" s="317">
        <v>0</v>
      </c>
      <c r="N113" s="173">
        <v>0</v>
      </c>
      <c r="O113" s="173">
        <v>0</v>
      </c>
      <c r="P113" s="173">
        <v>0</v>
      </c>
      <c r="Q113" s="173">
        <v>0</v>
      </c>
      <c r="R113" s="317">
        <f aca="true" t="shared" si="14" ref="R113:R121">SUM(B113:Q113)</f>
        <v>0</v>
      </c>
    </row>
    <row r="114" spans="1:18" s="147" customFormat="1" ht="21" customHeight="1">
      <c r="A114" s="318">
        <v>410300</v>
      </c>
      <c r="B114" s="173">
        <v>0</v>
      </c>
      <c r="C114" s="173">
        <v>0</v>
      </c>
      <c r="D114" s="173">
        <v>0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317">
        <f t="shared" si="14"/>
        <v>0</v>
      </c>
    </row>
    <row r="115" spans="1:18" s="147" customFormat="1" ht="21" customHeight="1">
      <c r="A115" s="318">
        <v>410400</v>
      </c>
      <c r="B115" s="173">
        <v>0</v>
      </c>
      <c r="C115" s="173">
        <v>0</v>
      </c>
      <c r="D115" s="173">
        <v>0</v>
      </c>
      <c r="E115" s="173">
        <v>0</v>
      </c>
      <c r="F115" s="173">
        <v>0</v>
      </c>
      <c r="G115" s="173">
        <v>0</v>
      </c>
      <c r="H115" s="173">
        <v>0</v>
      </c>
      <c r="I115" s="173">
        <v>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73">
        <v>0</v>
      </c>
      <c r="P115" s="173">
        <v>0</v>
      </c>
      <c r="Q115" s="173">
        <v>0</v>
      </c>
      <c r="R115" s="317">
        <f>SUM(B115:Q115)</f>
        <v>0</v>
      </c>
    </row>
    <row r="116" spans="1:18" s="147" customFormat="1" ht="21" customHeight="1">
      <c r="A116" s="318">
        <v>410600</v>
      </c>
      <c r="B116" s="173">
        <v>0</v>
      </c>
      <c r="C116" s="173">
        <v>0</v>
      </c>
      <c r="D116" s="173">
        <v>0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0</v>
      </c>
      <c r="R116" s="317">
        <f>SUM(B116:Q116)</f>
        <v>0</v>
      </c>
    </row>
    <row r="117" spans="1:18" s="147" customFormat="1" ht="21" customHeight="1">
      <c r="A117" s="318">
        <v>410700</v>
      </c>
      <c r="B117" s="173">
        <v>0</v>
      </c>
      <c r="C117" s="173">
        <v>0</v>
      </c>
      <c r="D117" s="173">
        <v>0</v>
      </c>
      <c r="E117" s="173">
        <v>0</v>
      </c>
      <c r="F117" s="173">
        <v>0</v>
      </c>
      <c r="G117" s="173">
        <v>0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173">
        <v>0</v>
      </c>
      <c r="Q117" s="173">
        <v>0</v>
      </c>
      <c r="R117" s="317">
        <f t="shared" si="14"/>
        <v>0</v>
      </c>
    </row>
    <row r="118" spans="1:18" s="147" customFormat="1" ht="21" customHeight="1">
      <c r="A118" s="318">
        <v>410900</v>
      </c>
      <c r="B118" s="173">
        <v>0</v>
      </c>
      <c r="C118" s="173">
        <v>0</v>
      </c>
      <c r="D118" s="173">
        <v>0</v>
      </c>
      <c r="E118" s="173">
        <v>0</v>
      </c>
      <c r="F118" s="173">
        <v>0</v>
      </c>
      <c r="G118" s="173">
        <v>0</v>
      </c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73">
        <v>0</v>
      </c>
      <c r="P118" s="173">
        <v>0</v>
      </c>
      <c r="Q118" s="173">
        <v>0</v>
      </c>
      <c r="R118" s="317">
        <f t="shared" si="14"/>
        <v>0</v>
      </c>
    </row>
    <row r="119" spans="1:18" s="147" customFormat="1" ht="21" customHeight="1">
      <c r="A119" s="318">
        <v>411800</v>
      </c>
      <c r="B119" s="173">
        <v>0</v>
      </c>
      <c r="C119" s="173">
        <v>0</v>
      </c>
      <c r="D119" s="173">
        <f>27000-27000</f>
        <v>0</v>
      </c>
      <c r="E119" s="173">
        <v>0</v>
      </c>
      <c r="F119" s="173">
        <v>0</v>
      </c>
      <c r="G119" s="173">
        <v>0</v>
      </c>
      <c r="H119" s="173">
        <v>0</v>
      </c>
      <c r="I119" s="173">
        <v>0</v>
      </c>
      <c r="J119" s="173">
        <v>0</v>
      </c>
      <c r="K119" s="173">
        <v>0</v>
      </c>
      <c r="L119" s="173">
        <v>0</v>
      </c>
      <c r="M119" s="173">
        <v>0</v>
      </c>
      <c r="N119" s="173">
        <v>0</v>
      </c>
      <c r="O119" s="173">
        <v>0</v>
      </c>
      <c r="P119" s="173">
        <v>0</v>
      </c>
      <c r="Q119" s="173">
        <v>0</v>
      </c>
      <c r="R119" s="317">
        <f t="shared" si="14"/>
        <v>0</v>
      </c>
    </row>
    <row r="120" spans="1:18" ht="18.75">
      <c r="A120" s="72" t="s">
        <v>17</v>
      </c>
      <c r="B120" s="74">
        <f aca="true" t="shared" si="15" ref="B120:Q120">SUM(B113:B119)</f>
        <v>0</v>
      </c>
      <c r="C120" s="74">
        <f t="shared" si="15"/>
        <v>0</v>
      </c>
      <c r="D120" s="74">
        <f t="shared" si="15"/>
        <v>0</v>
      </c>
      <c r="E120" s="74">
        <f t="shared" si="15"/>
        <v>0</v>
      </c>
      <c r="F120" s="74">
        <f t="shared" si="15"/>
        <v>0</v>
      </c>
      <c r="G120" s="74">
        <f t="shared" si="15"/>
        <v>0</v>
      </c>
      <c r="H120" s="74">
        <f t="shared" si="15"/>
        <v>0</v>
      </c>
      <c r="I120" s="74">
        <f t="shared" si="15"/>
        <v>0</v>
      </c>
      <c r="J120" s="74">
        <f t="shared" si="15"/>
        <v>0</v>
      </c>
      <c r="K120" s="74">
        <f t="shared" si="15"/>
        <v>0</v>
      </c>
      <c r="L120" s="74">
        <f t="shared" si="15"/>
        <v>0</v>
      </c>
      <c r="M120" s="74">
        <f t="shared" si="15"/>
        <v>0</v>
      </c>
      <c r="N120" s="74">
        <f t="shared" si="15"/>
        <v>0</v>
      </c>
      <c r="O120" s="74">
        <f t="shared" si="15"/>
        <v>0</v>
      </c>
      <c r="P120" s="74">
        <f t="shared" si="15"/>
        <v>0</v>
      </c>
      <c r="Q120" s="74">
        <f t="shared" si="15"/>
        <v>0</v>
      </c>
      <c r="R120" s="317">
        <f t="shared" si="14"/>
        <v>0</v>
      </c>
    </row>
    <row r="121" spans="1:18" s="79" customFormat="1" ht="18.75">
      <c r="A121" s="72" t="s">
        <v>18</v>
      </c>
      <c r="B121" s="73">
        <f>27300+30548.5</f>
        <v>57848.5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f>0</f>
        <v>0</v>
      </c>
      <c r="I121" s="73">
        <v>0</v>
      </c>
      <c r="J121" s="73">
        <f>0</f>
        <v>0</v>
      </c>
      <c r="K121" s="73">
        <v>0</v>
      </c>
      <c r="L121" s="73">
        <f>0</f>
        <v>0</v>
      </c>
      <c r="M121" s="73">
        <f>0</f>
        <v>0</v>
      </c>
      <c r="N121" s="73">
        <f>0</f>
        <v>0</v>
      </c>
      <c r="O121" s="73">
        <v>0</v>
      </c>
      <c r="P121" s="73">
        <v>0</v>
      </c>
      <c r="Q121" s="73">
        <f>0</f>
        <v>0</v>
      </c>
      <c r="R121" s="317">
        <f t="shared" si="14"/>
        <v>57848.5</v>
      </c>
    </row>
    <row r="122" spans="1:18" s="147" customFormat="1" ht="21" customHeight="1">
      <c r="A122" s="319">
        <v>542000</v>
      </c>
      <c r="B122" s="321"/>
      <c r="C122" s="321"/>
      <c r="D122" s="74"/>
      <c r="E122" s="74"/>
      <c r="F122" s="317"/>
      <c r="G122" s="74"/>
      <c r="H122" s="74"/>
      <c r="I122" s="74"/>
      <c r="J122" s="73"/>
      <c r="K122" s="317"/>
      <c r="L122" s="74"/>
      <c r="M122" s="74"/>
      <c r="N122" s="74"/>
      <c r="O122" s="317"/>
      <c r="P122" s="74"/>
      <c r="Q122" s="73"/>
      <c r="R122" s="317"/>
    </row>
    <row r="123" spans="1:18" s="147" customFormat="1" ht="18.75">
      <c r="A123" s="72">
        <v>420900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317">
        <f>SUM(B123:Q123)</f>
        <v>0</v>
      </c>
    </row>
    <row r="124" spans="1:18" s="147" customFormat="1" ht="18.75">
      <c r="A124" s="72">
        <v>421000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173">
        <v>0</v>
      </c>
      <c r="M124" s="173">
        <v>0</v>
      </c>
      <c r="N124" s="73">
        <v>0</v>
      </c>
      <c r="O124" s="73">
        <v>0</v>
      </c>
      <c r="P124" s="73">
        <v>0</v>
      </c>
      <c r="Q124" s="73">
        <v>0</v>
      </c>
      <c r="R124" s="317">
        <f>SUM(B124:Q124)</f>
        <v>0</v>
      </c>
    </row>
    <row r="125" spans="1:18" ht="18.75">
      <c r="A125" s="72" t="s">
        <v>17</v>
      </c>
      <c r="B125" s="74">
        <f aca="true" t="shared" si="16" ref="B125:Q125">SUM(B123:B124)</f>
        <v>0</v>
      </c>
      <c r="C125" s="74">
        <f t="shared" si="16"/>
        <v>0</v>
      </c>
      <c r="D125" s="74">
        <f t="shared" si="16"/>
        <v>0</v>
      </c>
      <c r="E125" s="74">
        <f t="shared" si="16"/>
        <v>0</v>
      </c>
      <c r="F125" s="74">
        <f t="shared" si="16"/>
        <v>0</v>
      </c>
      <c r="G125" s="74">
        <f t="shared" si="16"/>
        <v>0</v>
      </c>
      <c r="H125" s="74">
        <f t="shared" si="16"/>
        <v>0</v>
      </c>
      <c r="I125" s="74">
        <f t="shared" si="16"/>
        <v>0</v>
      </c>
      <c r="J125" s="74">
        <f t="shared" si="16"/>
        <v>0</v>
      </c>
      <c r="K125" s="74">
        <f t="shared" si="16"/>
        <v>0</v>
      </c>
      <c r="L125" s="74">
        <f t="shared" si="16"/>
        <v>0</v>
      </c>
      <c r="M125" s="74">
        <f t="shared" si="16"/>
        <v>0</v>
      </c>
      <c r="N125" s="74">
        <f t="shared" si="16"/>
        <v>0</v>
      </c>
      <c r="O125" s="74">
        <f t="shared" si="16"/>
        <v>0</v>
      </c>
      <c r="P125" s="74">
        <f t="shared" si="16"/>
        <v>0</v>
      </c>
      <c r="Q125" s="74">
        <f t="shared" si="16"/>
        <v>0</v>
      </c>
      <c r="R125" s="317">
        <f>SUM(B125:Q125)</f>
        <v>0</v>
      </c>
    </row>
    <row r="126" spans="1:18" s="79" customFormat="1" ht="18.75">
      <c r="A126" s="72" t="s">
        <v>18</v>
      </c>
      <c r="B126" s="73">
        <v>0</v>
      </c>
      <c r="C126" s="73">
        <v>0</v>
      </c>
      <c r="D126" s="73">
        <f>0</f>
        <v>0</v>
      </c>
      <c r="E126" s="73">
        <f>0</f>
        <v>0</v>
      </c>
      <c r="F126" s="73">
        <f>0</f>
        <v>0</v>
      </c>
      <c r="G126" s="73">
        <f>0</f>
        <v>0</v>
      </c>
      <c r="H126" s="73">
        <f>0</f>
        <v>0</v>
      </c>
      <c r="I126" s="73">
        <v>0</v>
      </c>
      <c r="J126" s="73">
        <v>0</v>
      </c>
      <c r="K126" s="73">
        <f>0</f>
        <v>0</v>
      </c>
      <c r="L126" s="73">
        <f>0</f>
        <v>0</v>
      </c>
      <c r="M126" s="73">
        <f>0</f>
        <v>0</v>
      </c>
      <c r="N126" s="73">
        <f>0</f>
        <v>0</v>
      </c>
      <c r="O126" s="73">
        <v>0</v>
      </c>
      <c r="P126" s="73">
        <f>0</f>
        <v>0</v>
      </c>
      <c r="Q126" s="73">
        <f>0</f>
        <v>0</v>
      </c>
      <c r="R126" s="317">
        <f>SUM(B126:Q126)</f>
        <v>0</v>
      </c>
    </row>
    <row r="127" spans="1:18" s="147" customFormat="1" ht="21" customHeight="1">
      <c r="A127" s="319">
        <v>551000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317"/>
    </row>
    <row r="128" spans="1:18" s="147" customFormat="1" ht="21" customHeight="1">
      <c r="A128" s="318">
        <v>510100</v>
      </c>
      <c r="B128" s="173">
        <v>0</v>
      </c>
      <c r="C128" s="173">
        <v>0</v>
      </c>
      <c r="D128" s="173">
        <v>0</v>
      </c>
      <c r="E128" s="173">
        <v>0</v>
      </c>
      <c r="F128" s="173">
        <v>0</v>
      </c>
      <c r="G128" s="173">
        <v>0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0</v>
      </c>
      <c r="P128" s="173">
        <v>0</v>
      </c>
      <c r="Q128" s="173">
        <v>0</v>
      </c>
      <c r="R128" s="317">
        <f>SUM(B128:Q128)</f>
        <v>0</v>
      </c>
    </row>
    <row r="129" spans="1:18" ht="18.75">
      <c r="A129" s="72" t="s">
        <v>17</v>
      </c>
      <c r="B129" s="73">
        <f aca="true" t="shared" si="17" ref="B129:Q129">SUM(B128)</f>
        <v>0</v>
      </c>
      <c r="C129" s="73">
        <f t="shared" si="17"/>
        <v>0</v>
      </c>
      <c r="D129" s="73">
        <f t="shared" si="17"/>
        <v>0</v>
      </c>
      <c r="E129" s="73">
        <f t="shared" si="17"/>
        <v>0</v>
      </c>
      <c r="F129" s="73">
        <f t="shared" si="17"/>
        <v>0</v>
      </c>
      <c r="G129" s="73">
        <f t="shared" si="17"/>
        <v>0</v>
      </c>
      <c r="H129" s="73">
        <f t="shared" si="17"/>
        <v>0</v>
      </c>
      <c r="I129" s="73">
        <f t="shared" si="17"/>
        <v>0</v>
      </c>
      <c r="J129" s="73">
        <f t="shared" si="17"/>
        <v>0</v>
      </c>
      <c r="K129" s="73">
        <f t="shared" si="17"/>
        <v>0</v>
      </c>
      <c r="L129" s="73">
        <f t="shared" si="17"/>
        <v>0</v>
      </c>
      <c r="M129" s="73">
        <f t="shared" si="17"/>
        <v>0</v>
      </c>
      <c r="N129" s="73">
        <f t="shared" si="17"/>
        <v>0</v>
      </c>
      <c r="O129" s="73">
        <f t="shared" si="17"/>
        <v>0</v>
      </c>
      <c r="P129" s="73">
        <f t="shared" si="17"/>
        <v>0</v>
      </c>
      <c r="Q129" s="73">
        <f t="shared" si="17"/>
        <v>0</v>
      </c>
      <c r="R129" s="317">
        <f>SUM(B129:Q129)</f>
        <v>0</v>
      </c>
    </row>
    <row r="130" spans="1:18" s="79" customFormat="1" ht="18.75">
      <c r="A130" s="72" t="s">
        <v>18</v>
      </c>
      <c r="B130" s="73">
        <v>0</v>
      </c>
      <c r="C130" s="73">
        <v>0</v>
      </c>
      <c r="D130" s="73">
        <f>0</f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f>0</f>
        <v>0</v>
      </c>
      <c r="J130" s="73">
        <f>0</f>
        <v>0</v>
      </c>
      <c r="K130" s="73">
        <v>3500</v>
      </c>
      <c r="L130" s="73">
        <f>0</f>
        <v>0</v>
      </c>
      <c r="M130" s="73">
        <f>0</f>
        <v>0</v>
      </c>
      <c r="N130" s="73">
        <v>0</v>
      </c>
      <c r="O130" s="73">
        <v>0</v>
      </c>
      <c r="P130" s="73">
        <v>0</v>
      </c>
      <c r="Q130" s="73">
        <f>0</f>
        <v>0</v>
      </c>
      <c r="R130" s="317">
        <f>SUM(B130:Q130)</f>
        <v>3500</v>
      </c>
    </row>
    <row r="131" spans="1:18" s="147" customFormat="1" ht="21" customHeight="1">
      <c r="A131" s="319">
        <v>561000</v>
      </c>
      <c r="B131" s="321"/>
      <c r="C131" s="321"/>
      <c r="D131" s="74"/>
      <c r="E131" s="74"/>
      <c r="F131" s="317"/>
      <c r="G131" s="74"/>
      <c r="H131" s="74"/>
      <c r="I131" s="74"/>
      <c r="J131" s="73"/>
      <c r="K131" s="317"/>
      <c r="L131" s="74"/>
      <c r="M131" s="74"/>
      <c r="N131" s="74"/>
      <c r="O131" s="317"/>
      <c r="P131" s="74"/>
      <c r="Q131" s="73"/>
      <c r="R131" s="317"/>
    </row>
    <row r="132" spans="1:18" s="147" customFormat="1" ht="21" customHeight="1">
      <c r="A132" s="157">
        <v>610200</v>
      </c>
      <c r="B132" s="173">
        <v>10000</v>
      </c>
      <c r="C132" s="173">
        <v>0</v>
      </c>
      <c r="D132" s="173">
        <v>0</v>
      </c>
      <c r="E132" s="173">
        <v>0</v>
      </c>
      <c r="F132" s="173">
        <v>0</v>
      </c>
      <c r="G132" s="173">
        <v>0</v>
      </c>
      <c r="H132" s="173">
        <v>0</v>
      </c>
      <c r="I132" s="173">
        <v>0</v>
      </c>
      <c r="J132" s="173">
        <v>0</v>
      </c>
      <c r="K132" s="333">
        <v>0</v>
      </c>
      <c r="L132" s="173">
        <v>0</v>
      </c>
      <c r="M132" s="173">
        <v>0</v>
      </c>
      <c r="N132" s="173">
        <v>5000</v>
      </c>
      <c r="O132" s="333">
        <v>0</v>
      </c>
      <c r="P132" s="173">
        <v>0</v>
      </c>
      <c r="Q132" s="173">
        <f>10000-10000</f>
        <v>0</v>
      </c>
      <c r="R132" s="317">
        <f>SUM(B132:Q132)</f>
        <v>15000</v>
      </c>
    </row>
    <row r="133" spans="1:18" s="147" customFormat="1" ht="21" customHeight="1">
      <c r="A133" s="157">
        <v>610400</v>
      </c>
      <c r="B133" s="173">
        <v>0</v>
      </c>
      <c r="C133" s="173">
        <v>0</v>
      </c>
      <c r="D133" s="173">
        <v>0</v>
      </c>
      <c r="E133" s="173">
        <v>0</v>
      </c>
      <c r="F133" s="173">
        <v>0</v>
      </c>
      <c r="G133" s="173">
        <v>0</v>
      </c>
      <c r="H133" s="173">
        <v>0</v>
      </c>
      <c r="I133" s="173">
        <v>0</v>
      </c>
      <c r="J133" s="173">
        <v>0</v>
      </c>
      <c r="K133" s="333">
        <v>0</v>
      </c>
      <c r="L133" s="173">
        <v>0</v>
      </c>
      <c r="M133" s="173">
        <v>0</v>
      </c>
      <c r="N133" s="173">
        <v>0</v>
      </c>
      <c r="O133" s="333">
        <v>0</v>
      </c>
      <c r="P133" s="173">
        <v>0</v>
      </c>
      <c r="Q133" s="173">
        <f>10000-10000</f>
        <v>0</v>
      </c>
      <c r="R133" s="317">
        <f>SUM(B133:Q133)</f>
        <v>0</v>
      </c>
    </row>
    <row r="134" spans="1:18" ht="18.75">
      <c r="A134" s="72" t="s">
        <v>17</v>
      </c>
      <c r="B134" s="73">
        <f aca="true" t="shared" si="18" ref="B134:R134">SUM(B132:B133)</f>
        <v>10000</v>
      </c>
      <c r="C134" s="73">
        <f t="shared" si="18"/>
        <v>0</v>
      </c>
      <c r="D134" s="73">
        <f t="shared" si="18"/>
        <v>0</v>
      </c>
      <c r="E134" s="73">
        <f t="shared" si="18"/>
        <v>0</v>
      </c>
      <c r="F134" s="73">
        <f t="shared" si="18"/>
        <v>0</v>
      </c>
      <c r="G134" s="73">
        <f t="shared" si="18"/>
        <v>0</v>
      </c>
      <c r="H134" s="73">
        <f t="shared" si="18"/>
        <v>0</v>
      </c>
      <c r="I134" s="73">
        <f t="shared" si="18"/>
        <v>0</v>
      </c>
      <c r="J134" s="73">
        <f t="shared" si="18"/>
        <v>0</v>
      </c>
      <c r="K134" s="73">
        <f t="shared" si="18"/>
        <v>0</v>
      </c>
      <c r="L134" s="73">
        <f t="shared" si="18"/>
        <v>0</v>
      </c>
      <c r="M134" s="73">
        <f t="shared" si="18"/>
        <v>0</v>
      </c>
      <c r="N134" s="73">
        <f t="shared" si="18"/>
        <v>5000</v>
      </c>
      <c r="O134" s="73">
        <f t="shared" si="18"/>
        <v>0</v>
      </c>
      <c r="P134" s="73">
        <f t="shared" si="18"/>
        <v>0</v>
      </c>
      <c r="Q134" s="73">
        <f t="shared" si="18"/>
        <v>0</v>
      </c>
      <c r="R134" s="73">
        <f t="shared" si="18"/>
        <v>15000</v>
      </c>
    </row>
    <row r="135" spans="1:18" s="79" customFormat="1" ht="18.75">
      <c r="A135" s="72" t="s">
        <v>18</v>
      </c>
      <c r="B135" s="73">
        <v>10000</v>
      </c>
      <c r="C135" s="73">
        <v>0</v>
      </c>
      <c r="D135" s="73">
        <f>0</f>
        <v>0</v>
      </c>
      <c r="E135" s="73">
        <v>0</v>
      </c>
      <c r="F135" s="73">
        <f>410800</f>
        <v>410800</v>
      </c>
      <c r="G135" s="73">
        <v>0</v>
      </c>
      <c r="H135" s="73">
        <v>0</v>
      </c>
      <c r="I135" s="73">
        <f>0</f>
        <v>0</v>
      </c>
      <c r="J135" s="73">
        <f>0</f>
        <v>0</v>
      </c>
      <c r="K135" s="73">
        <v>0</v>
      </c>
      <c r="L135" s="73">
        <f>0</f>
        <v>0</v>
      </c>
      <c r="M135" s="73">
        <f>0</f>
        <v>0</v>
      </c>
      <c r="N135" s="73">
        <v>5000</v>
      </c>
      <c r="O135" s="73">
        <v>0</v>
      </c>
      <c r="P135" s="73">
        <v>0</v>
      </c>
      <c r="Q135" s="73">
        <f>0</f>
        <v>0</v>
      </c>
      <c r="R135" s="317">
        <f>SUM(B135:Q135)</f>
        <v>425800</v>
      </c>
    </row>
    <row r="136" spans="1:18" ht="18.75">
      <c r="A136" s="72" t="s">
        <v>69</v>
      </c>
      <c r="B136" s="74">
        <f aca="true" t="shared" si="19" ref="B136:Q136">B14+B22+B31+B48+B56+B90+B97+B120+B125+B129+B134</f>
        <v>491168.33</v>
      </c>
      <c r="C136" s="74">
        <f t="shared" si="19"/>
        <v>0</v>
      </c>
      <c r="D136" s="74">
        <f t="shared" si="19"/>
        <v>79600</v>
      </c>
      <c r="E136" s="74">
        <f t="shared" si="19"/>
        <v>11200</v>
      </c>
      <c r="F136" s="74">
        <f t="shared" si="19"/>
        <v>0</v>
      </c>
      <c r="G136" s="74">
        <f t="shared" si="19"/>
        <v>0</v>
      </c>
      <c r="H136" s="74">
        <f t="shared" si="19"/>
        <v>0</v>
      </c>
      <c r="I136" s="74">
        <f t="shared" si="19"/>
        <v>98611</v>
      </c>
      <c r="J136" s="74">
        <f t="shared" si="19"/>
        <v>0</v>
      </c>
      <c r="K136" s="74">
        <f t="shared" si="19"/>
        <v>0</v>
      </c>
      <c r="L136" s="74">
        <f t="shared" si="19"/>
        <v>2045.58</v>
      </c>
      <c r="M136" s="74">
        <f t="shared" si="19"/>
        <v>0</v>
      </c>
      <c r="N136" s="74">
        <f t="shared" si="19"/>
        <v>5000</v>
      </c>
      <c r="O136" s="74">
        <f t="shared" si="19"/>
        <v>0</v>
      </c>
      <c r="P136" s="74">
        <f t="shared" si="19"/>
        <v>133341.47</v>
      </c>
      <c r="Q136" s="74">
        <f t="shared" si="19"/>
        <v>46524</v>
      </c>
      <c r="R136" s="74">
        <f>SUM(B136:Q136)</f>
        <v>867490.38</v>
      </c>
    </row>
    <row r="137" spans="1:20" s="79" customFormat="1" ht="18.75">
      <c r="A137" s="72" t="s">
        <v>70</v>
      </c>
      <c r="B137" s="74">
        <f aca="true" t="shared" si="20" ref="B137:Q137">B15+B23+B32+B49+B57+B91+B98+B121+B126+B130+B135</f>
        <v>2256409.74</v>
      </c>
      <c r="C137" s="74">
        <f t="shared" si="20"/>
        <v>0</v>
      </c>
      <c r="D137" s="74">
        <f t="shared" si="20"/>
        <v>448482.8</v>
      </c>
      <c r="E137" s="74">
        <f t="shared" si="20"/>
        <v>11200</v>
      </c>
      <c r="F137" s="74">
        <f t="shared" si="20"/>
        <v>721840</v>
      </c>
      <c r="G137" s="74">
        <f t="shared" si="20"/>
        <v>4000</v>
      </c>
      <c r="H137" s="74">
        <f t="shared" si="20"/>
        <v>0</v>
      </c>
      <c r="I137" s="74">
        <f t="shared" si="20"/>
        <v>526537</v>
      </c>
      <c r="J137" s="74">
        <f t="shared" si="20"/>
        <v>0</v>
      </c>
      <c r="K137" s="74">
        <f t="shared" si="20"/>
        <v>3500</v>
      </c>
      <c r="L137" s="74">
        <f t="shared" si="20"/>
        <v>158464.46</v>
      </c>
      <c r="M137" s="74">
        <f t="shared" si="20"/>
        <v>0</v>
      </c>
      <c r="N137" s="74">
        <f t="shared" si="20"/>
        <v>5000</v>
      </c>
      <c r="O137" s="74">
        <f t="shared" si="20"/>
        <v>0</v>
      </c>
      <c r="P137" s="74">
        <f t="shared" si="20"/>
        <v>410009.02</v>
      </c>
      <c r="Q137" s="74">
        <f t="shared" si="20"/>
        <v>249289</v>
      </c>
      <c r="R137" s="74">
        <f>SUM(B137:Q137)</f>
        <v>4794732.02</v>
      </c>
      <c r="T137" s="172"/>
    </row>
    <row r="138" spans="1:18" s="79" customFormat="1" ht="21" customHeight="1">
      <c r="A138" s="78"/>
      <c r="B138" s="325"/>
      <c r="C138" s="75"/>
      <c r="D138" s="569" t="s">
        <v>7</v>
      </c>
      <c r="E138" s="569"/>
      <c r="F138" s="85"/>
      <c r="G138" s="85"/>
      <c r="H138" s="208"/>
      <c r="I138" s="569" t="s">
        <v>97</v>
      </c>
      <c r="J138" s="569"/>
      <c r="K138" s="569"/>
      <c r="L138" s="325"/>
      <c r="M138" s="325"/>
      <c r="N138" s="325"/>
      <c r="O138" s="325"/>
      <c r="P138" s="325"/>
      <c r="Q138" s="325"/>
      <c r="R138" s="326"/>
    </row>
    <row r="139" spans="1:18" s="79" customFormat="1" ht="21" customHeight="1">
      <c r="A139" s="78"/>
      <c r="B139" s="80"/>
      <c r="C139" s="80"/>
      <c r="D139" s="85"/>
      <c r="E139" s="85"/>
      <c r="F139" s="85"/>
      <c r="G139" s="85"/>
      <c r="H139" s="80"/>
      <c r="I139" s="85"/>
      <c r="J139" s="85"/>
      <c r="K139" s="85"/>
      <c r="L139" s="80"/>
      <c r="M139" s="80"/>
      <c r="N139" s="80"/>
      <c r="O139" s="80"/>
      <c r="P139" s="80"/>
      <c r="Q139" s="80"/>
      <c r="R139" s="83"/>
    </row>
    <row r="140" spans="1:18" s="79" customFormat="1" ht="21" customHeight="1">
      <c r="A140" s="78"/>
      <c r="B140" s="80"/>
      <c r="C140" s="80"/>
      <c r="D140" s="569" t="s">
        <v>114</v>
      </c>
      <c r="E140" s="569"/>
      <c r="F140" s="85"/>
      <c r="G140" s="85"/>
      <c r="H140" s="85"/>
      <c r="I140" s="569" t="s">
        <v>273</v>
      </c>
      <c r="J140" s="569"/>
      <c r="K140" s="569"/>
      <c r="L140" s="80"/>
      <c r="M140" s="80"/>
      <c r="N140" s="80"/>
      <c r="O140" s="80"/>
      <c r="P140" s="80"/>
      <c r="Q140" s="80"/>
      <c r="R140" s="83"/>
    </row>
    <row r="141" spans="1:18" s="79" customFormat="1" ht="21" customHeight="1">
      <c r="A141" s="78"/>
      <c r="B141" s="80"/>
      <c r="C141" s="80"/>
      <c r="D141" s="569" t="s">
        <v>281</v>
      </c>
      <c r="E141" s="569"/>
      <c r="F141" s="85"/>
      <c r="G141" s="85"/>
      <c r="H141" s="85"/>
      <c r="I141" s="569" t="s">
        <v>96</v>
      </c>
      <c r="J141" s="569"/>
      <c r="K141" s="569"/>
      <c r="L141" s="80"/>
      <c r="M141" s="80"/>
      <c r="N141" s="80"/>
      <c r="O141" s="80"/>
      <c r="P141" s="80"/>
      <c r="Q141" s="80"/>
      <c r="R141" s="83"/>
    </row>
    <row r="142" spans="9:11" ht="21" customHeight="1">
      <c r="I142" s="569"/>
      <c r="J142" s="569"/>
      <c r="K142" s="569"/>
    </row>
  </sheetData>
  <sheetProtection/>
  <mergeCells count="46">
    <mergeCell ref="D59:E59"/>
    <mergeCell ref="D63:E63"/>
    <mergeCell ref="D36:E36"/>
    <mergeCell ref="I33:K33"/>
    <mergeCell ref="I35:K35"/>
    <mergeCell ref="I36:K36"/>
    <mergeCell ref="D62:E62"/>
    <mergeCell ref="I62:K62"/>
    <mergeCell ref="I63:K63"/>
    <mergeCell ref="L4:N4"/>
    <mergeCell ref="I142:K142"/>
    <mergeCell ref="B4:D4"/>
    <mergeCell ref="I38:J38"/>
    <mergeCell ref="B38:D38"/>
    <mergeCell ref="D33:E33"/>
    <mergeCell ref="D64:E64"/>
    <mergeCell ref="D99:E99"/>
    <mergeCell ref="B74:D74"/>
    <mergeCell ref="I64:K64"/>
    <mergeCell ref="B110:D110"/>
    <mergeCell ref="I110:J110"/>
    <mergeCell ref="D103:E103"/>
    <mergeCell ref="I102:K102"/>
    <mergeCell ref="A1:R1"/>
    <mergeCell ref="A2:R2"/>
    <mergeCell ref="A3:R3"/>
    <mergeCell ref="A37:R37"/>
    <mergeCell ref="I4:J4"/>
    <mergeCell ref="D35:E35"/>
    <mergeCell ref="D141:E141"/>
    <mergeCell ref="D138:E138"/>
    <mergeCell ref="D102:E102"/>
    <mergeCell ref="A73:R73"/>
    <mergeCell ref="L110:N110"/>
    <mergeCell ref="L74:N74"/>
    <mergeCell ref="D140:E140"/>
    <mergeCell ref="A109:R109"/>
    <mergeCell ref="I99:K99"/>
    <mergeCell ref="I74:J74"/>
    <mergeCell ref="L38:N38"/>
    <mergeCell ref="I141:K141"/>
    <mergeCell ref="I140:K140"/>
    <mergeCell ref="I59:K59"/>
    <mergeCell ref="I103:K103"/>
    <mergeCell ref="I138:K138"/>
    <mergeCell ref="I104:K104"/>
  </mergeCells>
  <printOptions/>
  <pageMargins left="0.051181102" right="0" top="0.1" bottom="0.05" header="0.261811024" footer="0.261811024"/>
  <pageSetup horizontalDpi="180" verticalDpi="18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sKzXP</cp:lastModifiedBy>
  <cp:lastPrinted>2012-05-25T04:44:31Z</cp:lastPrinted>
  <dcterms:created xsi:type="dcterms:W3CDTF">2006-01-23T06:43:20Z</dcterms:created>
  <dcterms:modified xsi:type="dcterms:W3CDTF">2012-05-25T04:58:06Z</dcterms:modified>
  <cp:category/>
  <cp:version/>
  <cp:contentType/>
  <cp:contentStatus/>
</cp:coreProperties>
</file>