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6" activeTab="7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2" r:id="rId5"/>
    <sheet name="งบกระทบยอด092-2-70597-6" sheetId="33" r:id="rId6"/>
    <sheet name="กระดาษทำการ(เงินรายรับ)" sheetId="34" r:id="rId7"/>
    <sheet name="คงเหลือรายรับ (1)" sheetId="35" r:id="rId8"/>
    <sheet name="คงเหลือรายรับ (2)" sheetId="36" r:id="rId9"/>
    <sheet name="คงเหลือรายรับ (3)" sheetId="37" r:id="rId10"/>
  </sheets>
  <definedNames>
    <definedName name="_xlnm.Print_Area" localSheetId="1">'งบทดลอง (2)'!$A$1:$G$35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O7" i="36"/>
  <c r="K24" i="35"/>
  <c r="Q23" i="37"/>
  <c r="P23"/>
  <c r="I25"/>
  <c r="L16"/>
  <c r="L15"/>
  <c r="K11"/>
  <c r="K5"/>
  <c r="B11"/>
  <c r="B10"/>
  <c r="D5"/>
  <c r="B5"/>
  <c r="T24" i="36"/>
  <c r="B26"/>
  <c r="B24"/>
  <c r="H14"/>
  <c r="D21"/>
  <c r="B17"/>
  <c r="D11"/>
  <c r="T5"/>
  <c r="D8"/>
  <c r="B8"/>
  <c r="B7"/>
  <c r="B5"/>
  <c r="K30" i="35"/>
  <c r="K29"/>
  <c r="D30"/>
  <c r="B30"/>
  <c r="K25"/>
  <c r="K23"/>
  <c r="K21"/>
  <c r="G24"/>
  <c r="D24"/>
  <c r="D23"/>
  <c r="D21"/>
  <c r="B25"/>
  <c r="B24"/>
  <c r="B23"/>
  <c r="B21"/>
  <c r="B18"/>
  <c r="B17"/>
  <c r="B16"/>
  <c r="B15"/>
  <c r="B14"/>
  <c r="U8"/>
  <c r="U7"/>
  <c r="U9"/>
  <c r="O139" i="34"/>
  <c r="N139"/>
  <c r="Q101"/>
  <c r="Q58"/>
  <c r="R16"/>
  <c r="B124"/>
  <c r="B101"/>
  <c r="G94"/>
  <c r="D94"/>
  <c r="B94"/>
  <c r="D58"/>
  <c r="B58"/>
  <c r="I50"/>
  <c r="D50"/>
  <c r="B50"/>
  <c r="I32"/>
  <c r="F32"/>
  <c r="D32"/>
  <c r="B32"/>
  <c r="B24"/>
  <c r="B52" l="1"/>
  <c r="L43" i="33" l="1"/>
  <c r="C49" i="32"/>
  <c r="C45"/>
  <c r="C41"/>
  <c r="C37"/>
  <c r="C28"/>
  <c r="C24"/>
  <c r="C20"/>
  <c r="C17"/>
  <c r="C16"/>
  <c r="C12"/>
  <c r="C9"/>
  <c r="C8"/>
  <c r="I73" i="31"/>
  <c r="I72"/>
  <c r="D61"/>
  <c r="D57"/>
  <c r="D56"/>
  <c r="D54"/>
  <c r="D53"/>
  <c r="D52"/>
  <c r="D51"/>
  <c r="D50"/>
  <c r="D49"/>
  <c r="D48"/>
  <c r="D47"/>
  <c r="D46"/>
  <c r="D24"/>
  <c r="D20"/>
  <c r="D17"/>
  <c r="D14"/>
  <c r="D12"/>
  <c r="D11"/>
  <c r="A46"/>
  <c r="A54"/>
  <c r="F54" i="23"/>
  <c r="F53"/>
  <c r="F51"/>
  <c r="F50"/>
  <c r="F48"/>
  <c r="F34"/>
  <c r="F26"/>
  <c r="F21"/>
  <c r="F20"/>
  <c r="F19"/>
  <c r="F16"/>
  <c r="F10"/>
  <c r="F9"/>
  <c r="L23" i="37"/>
  <c r="H23"/>
  <c r="T16"/>
  <c r="B27" i="36"/>
  <c r="B25"/>
  <c r="T13"/>
  <c r="D20"/>
  <c r="H7"/>
  <c r="E7"/>
  <c r="G139" i="34"/>
  <c r="G58"/>
  <c r="C47" i="32" l="1"/>
  <c r="F66" i="23"/>
  <c r="F65"/>
  <c r="E23" i="3" l="1"/>
  <c r="B46" i="31"/>
  <c r="B48"/>
  <c r="D21"/>
  <c r="B19"/>
  <c r="D19"/>
  <c r="D18"/>
  <c r="F64" i="23"/>
  <c r="F58"/>
  <c r="F49"/>
  <c r="F47"/>
  <c r="F46"/>
  <c r="K12" i="36"/>
  <c r="K7"/>
  <c r="D7"/>
  <c r="U11" i="35"/>
  <c r="U10"/>
  <c r="L9" i="37"/>
  <c r="I58" i="34"/>
  <c r="U26" i="37" l="1"/>
  <c r="T26"/>
  <c r="S26"/>
  <c r="R26"/>
  <c r="P26"/>
  <c r="O26"/>
  <c r="N26"/>
  <c r="M26"/>
  <c r="K26"/>
  <c r="J26"/>
  <c r="I26"/>
  <c r="H26"/>
  <c r="G26"/>
  <c r="F26"/>
  <c r="E26"/>
  <c r="D26"/>
  <c r="C26"/>
  <c r="V25"/>
  <c r="V24"/>
  <c r="Q26"/>
  <c r="L26"/>
  <c r="B22"/>
  <c r="B26" s="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20" s="1"/>
  <c r="V19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V16"/>
  <c r="L17"/>
  <c r="V14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V11"/>
  <c r="V10"/>
  <c r="V9"/>
  <c r="L12"/>
  <c r="V8"/>
  <c r="V7"/>
  <c r="V6"/>
  <c r="B12"/>
  <c r="U28" i="36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V26"/>
  <c r="V25"/>
  <c r="T28"/>
  <c r="B28"/>
  <c r="U22"/>
  <c r="T22"/>
  <c r="S22"/>
  <c r="R22"/>
  <c r="Q22"/>
  <c r="P22"/>
  <c r="O22"/>
  <c r="N22"/>
  <c r="M22"/>
  <c r="L22"/>
  <c r="K22"/>
  <c r="J22"/>
  <c r="I22"/>
  <c r="H22"/>
  <c r="G22"/>
  <c r="F22"/>
  <c r="E22"/>
  <c r="C22"/>
  <c r="V21"/>
  <c r="B21"/>
  <c r="V20"/>
  <c r="V19"/>
  <c r="V18"/>
  <c r="V17"/>
  <c r="V16"/>
  <c r="V15"/>
  <c r="V14"/>
  <c r="V13"/>
  <c r="B13"/>
  <c r="V12"/>
  <c r="D22"/>
  <c r="B11"/>
  <c r="B22" s="1"/>
  <c r="U9"/>
  <c r="S9"/>
  <c r="Q9"/>
  <c r="N9"/>
  <c r="M9"/>
  <c r="L9"/>
  <c r="J9"/>
  <c r="I9"/>
  <c r="G9"/>
  <c r="F9"/>
  <c r="C9"/>
  <c r="V8"/>
  <c r="R7"/>
  <c r="R9" s="1"/>
  <c r="P7"/>
  <c r="P9" s="1"/>
  <c r="O9"/>
  <c r="H9"/>
  <c r="E9"/>
  <c r="D9"/>
  <c r="V7"/>
  <c r="V6"/>
  <c r="T9"/>
  <c r="K5"/>
  <c r="K9" s="1"/>
  <c r="V5"/>
  <c r="U32" i="35"/>
  <c r="T32"/>
  <c r="S32"/>
  <c r="R32"/>
  <c r="Q32"/>
  <c r="P32"/>
  <c r="O32"/>
  <c r="N32"/>
  <c r="M32"/>
  <c r="L32"/>
  <c r="J32"/>
  <c r="I32"/>
  <c r="H32"/>
  <c r="G32"/>
  <c r="F32"/>
  <c r="E32"/>
  <c r="C32"/>
  <c r="K31"/>
  <c r="B31"/>
  <c r="V31" s="1"/>
  <c r="D32"/>
  <c r="B32"/>
  <c r="V29"/>
  <c r="K32"/>
  <c r="V28"/>
  <c r="U26"/>
  <c r="T26"/>
  <c r="S26"/>
  <c r="R26"/>
  <c r="Q26"/>
  <c r="P26"/>
  <c r="O26"/>
  <c r="N26"/>
  <c r="M26"/>
  <c r="L26"/>
  <c r="J26"/>
  <c r="I26"/>
  <c r="H26"/>
  <c r="F26"/>
  <c r="E26"/>
  <c r="C26"/>
  <c r="V25"/>
  <c r="G26"/>
  <c r="V24"/>
  <c r="V23"/>
  <c r="V22"/>
  <c r="K26"/>
  <c r="D26"/>
  <c r="B26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V17"/>
  <c r="V16"/>
  <c r="V15"/>
  <c r="V14"/>
  <c r="B19"/>
  <c r="V19" s="1"/>
  <c r="T12"/>
  <c r="T27" i="37" s="1"/>
  <c r="S12" i="35"/>
  <c r="S27" i="37" s="1"/>
  <c r="R12" i="35"/>
  <c r="R27" i="37" s="1"/>
  <c r="Q12" i="35"/>
  <c r="Q27" i="37" s="1"/>
  <c r="P12" i="35"/>
  <c r="P27" i="37" s="1"/>
  <c r="O12" i="35"/>
  <c r="O27" i="37" s="1"/>
  <c r="N12" i="35"/>
  <c r="N27" i="37" s="1"/>
  <c r="M12" i="35"/>
  <c r="M27" i="37" s="1"/>
  <c r="L12" i="35"/>
  <c r="L27" i="37" s="1"/>
  <c r="K12" i="35"/>
  <c r="K27" i="37" s="1"/>
  <c r="J12" i="35"/>
  <c r="J27" i="37" s="1"/>
  <c r="I12" i="35"/>
  <c r="I27" i="37" s="1"/>
  <c r="H12" i="35"/>
  <c r="H27" i="37" s="1"/>
  <c r="G12" i="35"/>
  <c r="G27" i="37" s="1"/>
  <c r="F12" i="35"/>
  <c r="F27" i="37" s="1"/>
  <c r="E12" i="35"/>
  <c r="E27" i="37" s="1"/>
  <c r="D12" i="35"/>
  <c r="D27" i="37" s="1"/>
  <c r="C12" i="35"/>
  <c r="C27" i="37" s="1"/>
  <c r="B12" i="35"/>
  <c r="V11"/>
  <c r="V10"/>
  <c r="V9"/>
  <c r="V8"/>
  <c r="V7"/>
  <c r="U12"/>
  <c r="U27" i="37" s="1"/>
  <c r="C141" i="34"/>
  <c r="R139"/>
  <c r="M139"/>
  <c r="I139"/>
  <c r="S139" s="1"/>
  <c r="D139"/>
  <c r="Q138"/>
  <c r="P138"/>
  <c r="O138"/>
  <c r="N138"/>
  <c r="M138"/>
  <c r="L138"/>
  <c r="K138"/>
  <c r="J138"/>
  <c r="I138"/>
  <c r="H138"/>
  <c r="G138"/>
  <c r="F138"/>
  <c r="E138"/>
  <c r="D138"/>
  <c r="C138"/>
  <c r="B138"/>
  <c r="S137"/>
  <c r="R137"/>
  <c r="S136"/>
  <c r="R136"/>
  <c r="S135"/>
  <c r="S138" s="1"/>
  <c r="R135"/>
  <c r="R138" s="1"/>
  <c r="R133"/>
  <c r="N133"/>
  <c r="M133"/>
  <c r="J133"/>
  <c r="I133"/>
  <c r="D133"/>
  <c r="S133" s="1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S132" s="1"/>
  <c r="S131"/>
  <c r="R129"/>
  <c r="O129"/>
  <c r="N129"/>
  <c r="M129"/>
  <c r="L129"/>
  <c r="K129"/>
  <c r="H129"/>
  <c r="G129"/>
  <c r="F129"/>
  <c r="E129"/>
  <c r="S129" s="1"/>
  <c r="D129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S127"/>
  <c r="S126"/>
  <c r="R124"/>
  <c r="O124"/>
  <c r="N124"/>
  <c r="M124"/>
  <c r="S124" s="1"/>
  <c r="J124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S121"/>
  <c r="S120"/>
  <c r="S119"/>
  <c r="S118"/>
  <c r="S117"/>
  <c r="R101"/>
  <c r="P101"/>
  <c r="O101"/>
  <c r="N101"/>
  <c r="M101"/>
  <c r="L101"/>
  <c r="K101"/>
  <c r="J101"/>
  <c r="H101"/>
  <c r="G101"/>
  <c r="F101"/>
  <c r="E101"/>
  <c r="D101"/>
  <c r="S101" s="1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S99"/>
  <c r="S98"/>
  <c r="S97"/>
  <c r="S96"/>
  <c r="R94"/>
  <c r="O94"/>
  <c r="L94"/>
  <c r="J94"/>
  <c r="S94" s="1"/>
  <c r="E94"/>
  <c r="R93"/>
  <c r="Q93"/>
  <c r="P93"/>
  <c r="O93"/>
  <c r="N93"/>
  <c r="M93"/>
  <c r="L93"/>
  <c r="J93"/>
  <c r="I93"/>
  <c r="G93"/>
  <c r="F93"/>
  <c r="E93"/>
  <c r="D93"/>
  <c r="C93"/>
  <c r="B93"/>
  <c r="K92"/>
  <c r="H92"/>
  <c r="S92" s="1"/>
  <c r="K91"/>
  <c r="H91"/>
  <c r="S91" s="1"/>
  <c r="K90"/>
  <c r="K93" s="1"/>
  <c r="H90"/>
  <c r="S90" s="1"/>
  <c r="S89"/>
  <c r="S88"/>
  <c r="S87"/>
  <c r="S86"/>
  <c r="S85"/>
  <c r="S84"/>
  <c r="S83"/>
  <c r="S82"/>
  <c r="S81"/>
  <c r="S80"/>
  <c r="S79"/>
  <c r="R58"/>
  <c r="S58"/>
  <c r="R57"/>
  <c r="Q57"/>
  <c r="P57"/>
  <c r="O57"/>
  <c r="N57"/>
  <c r="M57"/>
  <c r="L57"/>
  <c r="K57"/>
  <c r="J57"/>
  <c r="I57"/>
  <c r="H57"/>
  <c r="G57"/>
  <c r="F57"/>
  <c r="E57"/>
  <c r="D57"/>
  <c r="C57"/>
  <c r="S56"/>
  <c r="S55"/>
  <c r="S54"/>
  <c r="S53"/>
  <c r="B57"/>
  <c r="R50"/>
  <c r="Q50"/>
  <c r="P50"/>
  <c r="O50"/>
  <c r="N50"/>
  <c r="M50"/>
  <c r="L50"/>
  <c r="K50"/>
  <c r="J50"/>
  <c r="H50"/>
  <c r="G50"/>
  <c r="F50"/>
  <c r="S50" s="1"/>
  <c r="R49"/>
  <c r="Q49"/>
  <c r="P49"/>
  <c r="O49"/>
  <c r="N49"/>
  <c r="M49"/>
  <c r="L49"/>
  <c r="K49"/>
  <c r="J49"/>
  <c r="I49"/>
  <c r="H49"/>
  <c r="G49"/>
  <c r="F49"/>
  <c r="E49"/>
  <c r="D49"/>
  <c r="C49"/>
  <c r="B49"/>
  <c r="S48"/>
  <c r="S47"/>
  <c r="S46"/>
  <c r="S45"/>
  <c r="S44"/>
  <c r="S43"/>
  <c r="S42"/>
  <c r="R32"/>
  <c r="Q32"/>
  <c r="P32"/>
  <c r="O32"/>
  <c r="N32"/>
  <c r="M32"/>
  <c r="L32"/>
  <c r="K32"/>
  <c r="J32"/>
  <c r="H32"/>
  <c r="E32"/>
  <c r="S32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S29"/>
  <c r="S28"/>
  <c r="S27"/>
  <c r="S26"/>
  <c r="R24"/>
  <c r="R141" s="1"/>
  <c r="Q24"/>
  <c r="P24"/>
  <c r="O24"/>
  <c r="N24"/>
  <c r="M24"/>
  <c r="L24"/>
  <c r="K24"/>
  <c r="J24"/>
  <c r="H24"/>
  <c r="G24"/>
  <c r="F24"/>
  <c r="E24"/>
  <c r="S24"/>
  <c r="R23"/>
  <c r="Q23"/>
  <c r="P23"/>
  <c r="O23"/>
  <c r="N23"/>
  <c r="M23"/>
  <c r="L23"/>
  <c r="K23"/>
  <c r="J23"/>
  <c r="I23"/>
  <c r="H23"/>
  <c r="G23"/>
  <c r="F23"/>
  <c r="E23"/>
  <c r="D23"/>
  <c r="C23"/>
  <c r="B23"/>
  <c r="S23" s="1"/>
  <c r="S22"/>
  <c r="S21"/>
  <c r="S20"/>
  <c r="S19"/>
  <c r="S18"/>
  <c r="Q16"/>
  <c r="Q141" s="1"/>
  <c r="P16"/>
  <c r="P141" s="1"/>
  <c r="O16"/>
  <c r="O141" s="1"/>
  <c r="N16"/>
  <c r="N141" s="1"/>
  <c r="M16"/>
  <c r="M141" s="1"/>
  <c r="L16"/>
  <c r="L141" s="1"/>
  <c r="K16"/>
  <c r="K141" s="1"/>
  <c r="J16"/>
  <c r="J141" s="1"/>
  <c r="I16"/>
  <c r="I141" s="1"/>
  <c r="H16"/>
  <c r="H141" s="1"/>
  <c r="G16"/>
  <c r="G141" s="1"/>
  <c r="F16"/>
  <c r="F141" s="1"/>
  <c r="E16"/>
  <c r="E141" s="1"/>
  <c r="D16"/>
  <c r="S16" s="1"/>
  <c r="R15"/>
  <c r="R140" s="1"/>
  <c r="Q15"/>
  <c r="P15"/>
  <c r="P140" s="1"/>
  <c r="O15"/>
  <c r="O140" s="1"/>
  <c r="N15"/>
  <c r="N140" s="1"/>
  <c r="M15"/>
  <c r="M140" s="1"/>
  <c r="L15"/>
  <c r="L140" s="1"/>
  <c r="K15"/>
  <c r="K140" s="1"/>
  <c r="J15"/>
  <c r="J140" s="1"/>
  <c r="I15"/>
  <c r="I140" s="1"/>
  <c r="H15"/>
  <c r="G15"/>
  <c r="F15"/>
  <c r="F140" s="1"/>
  <c r="E15"/>
  <c r="E140" s="1"/>
  <c r="D15"/>
  <c r="D140" s="1"/>
  <c r="C15"/>
  <c r="C140" s="1"/>
  <c r="B15"/>
  <c r="S14"/>
  <c r="S13"/>
  <c r="S12"/>
  <c r="S11"/>
  <c r="S10"/>
  <c r="S9"/>
  <c r="S8"/>
  <c r="S7"/>
  <c r="L53" i="33"/>
  <c r="L49"/>
  <c r="V12" i="37" l="1"/>
  <c r="S128" i="34"/>
  <c r="S123"/>
  <c r="V22" i="36"/>
  <c r="G140" i="34"/>
  <c r="Q140"/>
  <c r="V28" i="36"/>
  <c r="V12" i="35"/>
  <c r="V26"/>
  <c r="V26" i="37"/>
  <c r="S100" i="34"/>
  <c r="B140"/>
  <c r="S57"/>
  <c r="S49"/>
  <c r="S31"/>
  <c r="V32" i="35"/>
  <c r="V17" i="37"/>
  <c r="S15" i="34"/>
  <c r="H93"/>
  <c r="S93" s="1"/>
  <c r="B141"/>
  <c r="D141"/>
  <c r="V21" i="35"/>
  <c r="B9" i="36"/>
  <c r="V9" s="1"/>
  <c r="V24"/>
  <c r="V15" i="37"/>
  <c r="V23"/>
  <c r="B27"/>
  <c r="V27" s="1"/>
  <c r="S52" i="34"/>
  <c r="V30" i="35"/>
  <c r="V11" i="36"/>
  <c r="V5" i="37"/>
  <c r="V22"/>
  <c r="S141" i="34" l="1"/>
  <c r="H140"/>
  <c r="S140" s="1"/>
  <c r="L50" i="33" l="1"/>
  <c r="C51" i="32" l="1"/>
  <c r="B51"/>
  <c r="B47"/>
  <c r="C43"/>
  <c r="B43"/>
  <c r="B39"/>
  <c r="C39"/>
  <c r="B30"/>
  <c r="C30"/>
  <c r="B26"/>
  <c r="C26"/>
  <c r="B22"/>
  <c r="C22"/>
  <c r="B18"/>
  <c r="C18"/>
  <c r="B14"/>
  <c r="C14"/>
  <c r="B10"/>
  <c r="C10"/>
  <c r="A50" i="31" l="1"/>
  <c r="A53"/>
  <c r="A56"/>
  <c r="A55" l="1"/>
  <c r="I69"/>
  <c r="B69"/>
  <c r="C56"/>
  <c r="C55"/>
  <c r="C54"/>
  <c r="C53"/>
  <c r="C52"/>
  <c r="C51"/>
  <c r="C50"/>
  <c r="C49"/>
  <c r="C48"/>
  <c r="D69"/>
  <c r="C47"/>
  <c r="C46"/>
  <c r="I36"/>
  <c r="B36"/>
  <c r="A36"/>
  <c r="C19"/>
  <c r="C18"/>
  <c r="C17"/>
  <c r="C16"/>
  <c r="C15"/>
  <c r="C14"/>
  <c r="C13"/>
  <c r="C12"/>
  <c r="D36"/>
  <c r="C11"/>
  <c r="C36" l="1"/>
  <c r="D70"/>
  <c r="D73" s="1"/>
  <c r="C69"/>
  <c r="A69"/>
  <c r="F63" i="23" l="1"/>
  <c r="F62"/>
  <c r="C23" i="3" l="1"/>
  <c r="E39" i="23"/>
  <c r="D39"/>
  <c r="F39"/>
  <c r="D31" i="26" l="1"/>
  <c r="G31" l="1"/>
  <c r="F31"/>
  <c r="E31"/>
  <c r="F59" i="23" l="1"/>
  <c r="E73"/>
  <c r="D73"/>
  <c r="E59"/>
  <c r="D59"/>
  <c r="E56"/>
  <c r="D56"/>
  <c r="F43"/>
  <c r="E43"/>
  <c r="D43"/>
  <c r="E35"/>
  <c r="D35"/>
  <c r="F35"/>
  <c r="F32"/>
  <c r="E32"/>
  <c r="D32"/>
  <c r="E29"/>
  <c r="D29"/>
  <c r="F29"/>
  <c r="E12"/>
  <c r="D12"/>
  <c r="F12"/>
  <c r="E74" l="1"/>
  <c r="D74"/>
  <c r="F56"/>
  <c r="F73"/>
  <c r="F74" l="1"/>
  <c r="D23" i="3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เงินช่วยพิเศษ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3">
      <text>
        <r>
          <rPr>
            <b/>
            <sz val="8"/>
            <color indexed="81"/>
            <rFont val="Tahoma"/>
            <family val="2"/>
          </rPr>
          <t>ค่าเบี้ยประชุม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4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เงินช่วยเหลือค่ารักษาพยาบาล</t>
        </r>
      </text>
    </comment>
    <comment ref="A48" authorId="4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ประโยชน์ตอบแทนอื่น
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8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9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9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1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120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21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1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3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3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3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0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<sst xmlns="http://schemas.openxmlformats.org/spreadsheetml/2006/main" count="697" uniqueCount="309">
  <si>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</si>
  <si>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</si>
  <si>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</si>
  <si>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</si>
  <si>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</si>
  <si>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</si>
  <si>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</si>
  <si>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</si>
  <si>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</si>
  <si>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</si>
  <si>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</si>
  <si>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</si>
  <si>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</si>
  <si>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</si>
  <si>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</si>
  <si>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</si>
  <si>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</si>
  <si>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</si>
  <si>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</si>
  <si>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</si>
  <si>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</si>
  <si>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</si>
  <si>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</si>
  <si>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</si>
  <si>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</si>
  <si>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</si>
  <si>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</si>
  <si>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</si>
  <si>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441000</t>
  </si>
  <si>
    <t>ลูกหนี้เงินยืม - เงินสะสม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</si>
  <si>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</si>
  <si>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</si>
  <si>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</si>
  <si>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</si>
  <si>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</si>
  <si>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</si>
  <si>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</si>
  <si>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</si>
  <si>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</si>
  <si>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</si>
  <si>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</si>
  <si>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</si>
  <si>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</si>
  <si>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</si>
  <si>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</si>
  <si>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</si>
  <si>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</si>
  <si>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</si>
  <si>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</si>
  <si>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</si>
  <si>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</si>
  <si>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</si>
  <si>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</si>
  <si>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</si>
  <si>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560000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</si>
  <si>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</si>
  <si>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</si>
  <si>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</si>
  <si>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</si>
  <si>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</si>
  <si>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</si>
  <si>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</si>
  <si>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</si>
  <si>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</si>
  <si>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</si>
  <si>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</si>
  <si>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</si>
  <si>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</si>
  <si>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</si>
  <si>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</si>
  <si>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</si>
  <si>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</si>
  <si>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</si>
  <si>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</si>
  <si>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</si>
  <si>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320000</t>
  </si>
  <si>
    <t>รายรับ (หมายเหตุ 1)</t>
  </si>
  <si>
    <t>400000</t>
  </si>
  <si>
    <t>541000</t>
  </si>
  <si>
    <t>รายจ่ายอื่น ๆ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</si>
  <si>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</si>
  <si>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</si>
  <si>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</si>
  <si>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</si>
  <si>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</si>
  <si>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</si>
  <si>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</si>
  <si>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</si>
  <si>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</si>
  <si>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</si>
  <si>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</si>
  <si>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</si>
  <si>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</si>
  <si>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</si>
  <si>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</si>
  <si>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</si>
  <si>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</si>
  <si>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</si>
  <si>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</si>
  <si>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</si>
  <si>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ค่าปรับผู้กระทำผิดตาม พ.ร.บ.ทะเบียนพาณิชย์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</si>
  <si>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</si>
  <si>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</si>
  <si>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</si>
  <si>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</si>
  <si>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</si>
  <si>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</si>
  <si>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</si>
  <si>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</si>
  <si>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</si>
  <si>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</si>
  <si>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</si>
  <si>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</si>
  <si>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</si>
  <si>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</si>
  <si>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</si>
  <si>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</si>
  <si>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เงินอุดหนุนโครงการแก้ไขปัญหายาเสพติด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</si>
  <si>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</si>
  <si>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</si>
  <si>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</si>
  <si>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</si>
  <si>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</si>
  <si>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ค่าใช้จ่าย ภ.บ.ท. 5%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</si>
  <si>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</si>
  <si>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</si>
  <si>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</si>
  <si>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</si>
  <si>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</si>
  <si>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</si>
  <si>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</si>
  <si>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</si>
  <si>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</si>
  <si>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</si>
  <si>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</si>
  <si>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</si>
  <si>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</si>
  <si>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</si>
  <si>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</si>
  <si>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</si>
  <si>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</si>
  <si>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</si>
  <si>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</si>
  <si>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เงินอุดหนุนเฉพาะกิจ-สงเคราะห์เบี้ยยังชีพคนชรา</t>
  </si>
  <si>
    <t>รวม</t>
  </si>
  <si>
    <t>รวมทั้งสิ้น</t>
  </si>
  <si>
    <t>เงินอุดหนุนเฉพาะกิจ-สงเคราะห์เบี้ยยังชีพคนพิการ</t>
  </si>
  <si>
    <t>เงินกู้ ธ.ก.ส.</t>
  </si>
  <si>
    <t>เงินสมทบประกันสังคม</t>
  </si>
  <si>
    <t>เงินอุดหนุนเฉพาะกิจ-ค่าจัดการเรียนการสอน</t>
  </si>
  <si>
    <t>เงินส่วนลด ภ.บ.ท. 6%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</si>
  <si>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</si>
  <si>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</si>
  <si>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</si>
  <si>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</si>
  <si>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</si>
  <si>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</si>
  <si>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</si>
  <si>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</si>
  <si>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</si>
  <si>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</si>
  <si>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</si>
  <si>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</si>
  <si>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</si>
  <si>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</si>
  <si>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</si>
  <si>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</si>
  <si>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</si>
  <si>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</si>
  <si>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</si>
  <si>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</si>
  <si>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</si>
  <si>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</si>
  <si>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</si>
  <si>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</si>
  <si>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</si>
  <si>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</si>
  <si>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</si>
  <si>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</si>
  <si>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</si>
  <si>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</si>
  <si>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</si>
  <si>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</si>
  <si>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</si>
  <si>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</si>
  <si>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</si>
  <si>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</si>
  <si>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</si>
  <si>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</si>
  <si>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</si>
  <si>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</si>
  <si>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</si>
  <si>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</si>
  <si>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</si>
  <si>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</si>
  <si>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</si>
  <si>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</si>
  <si>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</si>
  <si>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</si>
  <si>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</si>
  <si>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</si>
  <si>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</si>
  <si>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</si>
  <si>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</si>
  <si>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</si>
  <si>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-4-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</si>
  <si>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</si>
  <si>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</si>
  <si>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</si>
  <si>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</si>
  <si>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</si>
  <si>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เงินอุดหนุนเฉพาะกิจ-สนับสนุนยุทธศาสตร์การพัฒนาประเทศ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</si>
  <si>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</si>
  <si>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</si>
  <si>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</si>
  <si>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เงินอุดหนุนเฉพาะกิจ-สนับสนุนศูนย์พัฒนาเด็กเล็ก(เงินเดือน)</t>
  </si>
  <si>
    <t>เงินอุดหนุนเฉพาะกิจ-สนับสนุนศูนย์พัฒนาเด็กเล็ก(ค่าตอบแทน)</t>
  </si>
  <si>
    <t>เงินอุดหนุนเฉพาะกิจ-สนับสนุนศูนย์พัฒนาเด็กเล็ก(เงินประกันสังคม)</t>
  </si>
  <si>
    <t>310000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</si>
  <si>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</si>
  <si>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</si>
  <si>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</si>
  <si>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</si>
  <si>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</si>
  <si>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</si>
  <si>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</si>
  <si>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</si>
  <si>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</si>
  <si>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</si>
  <si>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</si>
  <si>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</si>
  <si>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</si>
  <si>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</si>
  <si>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เงินอุดหนุนเฉพาะกิจ-โครงการก่อสร้างระบบประปาหมู่บ้าน ม.4</t>
  </si>
  <si>
    <t>เงินอุดหนุนเฉพาะกิจ-สนับสนุนศูนย์พัฒนาเด็กเล็ก(เงินสวัสดิการ)</t>
  </si>
  <si>
    <t>เงินอุดหนุนเฉพาะกิจ-โครงการพลังเยาวชน</t>
  </si>
  <si>
    <t>111201</t>
  </si>
  <si>
    <t>113302</t>
  </si>
  <si>
    <t>ลูกหนี้รายได้อื่น ๆ</t>
  </si>
  <si>
    <t>113400</t>
  </si>
  <si>
    <t>เงินฝากเงินทุนส่งเสริมกิจการเทศบาล</t>
  </si>
  <si>
    <t>112002</t>
  </si>
  <si>
    <t>211000</t>
  </si>
  <si>
    <t>215000</t>
  </si>
  <si>
    <t>511000</t>
  </si>
  <si>
    <t>551000</t>
  </si>
  <si>
    <t>561000</t>
  </si>
  <si>
    <t>ลูกหนี้เงินทุนโครงการเศรษฐกิจชุมชน</t>
  </si>
  <si>
    <t>113500</t>
  </si>
  <si>
    <t>111200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</si>
  <si>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</si>
  <si>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</si>
  <si>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</si>
  <si>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</si>
  <si>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</si>
  <si>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</si>
  <si>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</si>
  <si>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</si>
  <si>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113100</t>
  </si>
  <si>
    <t>เงินสวัสดิการ อปท.</t>
  </si>
  <si>
    <t>เบี้ยยังชีพผู้สูงอายุปี 2558</t>
  </si>
  <si>
    <t>เบี้ยยังชีพคนพิการปี 2558</t>
  </si>
  <si>
    <t>เงินอุดหนุนเฉพาะกิจ-ก่อสร้างศูนย์พัฒนาเด็กเล็ก</t>
  </si>
  <si>
    <t>รับ(เครดิต)</t>
  </si>
  <si>
    <t>จ่าย(เดบิท)</t>
  </si>
  <si>
    <t>230100</t>
  </si>
  <si>
    <t>110605</t>
  </si>
  <si>
    <t>110606</t>
  </si>
  <si>
    <t>210400</t>
  </si>
  <si>
    <t>110609</t>
  </si>
  <si>
    <t>210300</t>
  </si>
  <si>
    <t>300000</t>
  </si>
  <si>
    <t>120200</t>
  </si>
  <si>
    <t>.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</si>
  <si>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</si>
  <si>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</si>
  <si>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</si>
  <si>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</si>
  <si>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</si>
  <si>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</si>
  <si>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</si>
  <si>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</si>
  <si>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</si>
  <si>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</si>
  <si>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</si>
  <si>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</si>
  <si>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</si>
  <si>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</si>
  <si>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</si>
  <si>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</si>
  <si>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</si>
  <si>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</si>
  <si>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</si>
  <si>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</si>
  <si>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</si>
  <si>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</si>
  <si>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ปีงบประมาณ พ.ศ.2559   ประจำเดือนกุมภาพันธ์  2559</t>
  </si>
  <si>
    <t xml:space="preserve"> ณ วันที่   29  กุมภาพันธ์   2559</t>
  </si>
  <si>
    <t xml:space="preserve"> ณ วันที่  29  กุมภาพันธ์  2559</t>
  </si>
  <si>
    <t>ณ วันที่  29  กุมภาพันธ์   2559</t>
  </si>
  <si>
    <t xml:space="preserve"> ณ วันที่  29  กุมภาพันธ์   2559</t>
  </si>
  <si>
    <t>ยอดคงเหลือตามรายงานธนาคาร ณ วันที่  29 กุมภาพันธ์  2559</t>
  </si>
  <si>
    <t>4 ก.พ. 2559</t>
  </si>
  <si>
    <t>19 ก.พ.2559</t>
  </si>
  <si>
    <t>29 ก.พ.2559</t>
  </si>
  <si>
    <t>ยอดคงเหลือตามบัญชี ณ วันที่  29  กุมภาพันธ์  2559</t>
  </si>
  <si>
    <t>วันที่ 29 ก.พ. 2559</t>
  </si>
  <si>
    <t>- 2 -</t>
  </si>
  <si>
    <t>ประจำเดือนกุมภาพันธ์  2559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</si>
</sst>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03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0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0" fontId="22" fillId="0" borderId="10" xfId="0" applyFont="1" applyBorder="1" applyAlignment="1">
      <alignment horizontal="center"/>
    </xf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5" xfId="0" applyNumberFormat="1" applyFont="1" applyBorder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9" fontId="22" fillId="0" borderId="17" xfId="0" applyNumberFormat="1" applyFont="1" applyBorder="1" applyAlignment="1">
      <alignment horizontal="center"/>
    </xf>
    <xf numFmtId="0" fontId="22" fillId="0" borderId="21" xfId="0" applyFont="1" applyBorder="1"/>
    <xf numFmtId="0" fontId="21" fillId="0" borderId="21" xfId="0" applyFont="1" applyBorder="1"/>
    <xf numFmtId="0" fontId="21" fillId="0" borderId="14" xfId="0" applyFont="1" applyBorder="1"/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0" fontId="8" fillId="0" borderId="0" xfId="10" applyFont="1" applyBorder="1"/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18" fillId="0" borderId="20" xfId="10" applyNumberFormat="1" applyFont="1" applyBorder="1" applyAlignment="1">
      <alignment horizontal="right"/>
    </xf>
    <xf numFmtId="43" fontId="8" fillId="0" borderId="20" xfId="10" applyNumberFormat="1" applyFont="1" applyBorder="1"/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43" fontId="24" fillId="0" borderId="8" xfId="2" applyNumberFormat="1" applyFont="1" applyBorder="1" applyAlignment="1">
      <alignment horizontal="right"/>
    </xf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0" xfId="1" applyFont="1"/>
    <xf numFmtId="43" fontId="24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topLeftCell="A7" zoomScaleSheetLayoutView="100" workbookViewId="0">
      <selection activeCell="F75" sqref="F75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5.625" style="27" customWidth="1"/>
    <col min="8" max="8" width="6.125" style="45" bestFit="1" customWidth="1"/>
    <col min="9" max="9" width="13.25" style="4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K1" s="2"/>
      <c r="L1" s="2"/>
      <c r="M1" s="2"/>
      <c r="N1" s="2"/>
      <c r="O1" s="2"/>
    </row>
    <row r="2" spans="1:15" s="1" customFormat="1" ht="29.1" customHeight="1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K2" s="2"/>
      <c r="L2" s="2"/>
      <c r="M2" s="2"/>
      <c r="N2" s="2"/>
      <c r="O2" s="2"/>
    </row>
    <row r="3" spans="1:15" s="1" customFormat="1" ht="29.1" customHeight="1">
      <c r="A3" s="324" t="s">
        <v>2</v>
      </c>
      <c r="B3" s="324"/>
      <c r="C3" s="324"/>
      <c r="D3" s="324"/>
      <c r="E3" s="324"/>
      <c r="F3" s="324"/>
      <c r="G3" s="324"/>
      <c r="H3" s="324"/>
      <c r="I3" s="324"/>
      <c r="K3" s="2"/>
      <c r="L3" s="2"/>
      <c r="M3" s="2"/>
      <c r="N3" s="2"/>
      <c r="O3" s="2"/>
    </row>
    <row r="4" spans="1:15" s="1" customFormat="1" ht="28.5" customHeight="1" thickBot="1">
      <c r="A4" s="325" t="s">
        <v>296</v>
      </c>
      <c r="B4" s="325"/>
      <c r="C4" s="325"/>
      <c r="D4" s="325"/>
      <c r="E4" s="325"/>
      <c r="F4" s="325"/>
      <c r="G4" s="325"/>
      <c r="H4" s="325"/>
      <c r="I4" s="325"/>
      <c r="K4" s="2"/>
      <c r="L4" s="2"/>
      <c r="M4" s="2"/>
      <c r="N4" s="2"/>
      <c r="O4" s="2"/>
    </row>
    <row r="5" spans="1:15" ht="22.5" customHeight="1" thickTop="1">
      <c r="A5" s="326" t="s">
        <v>3</v>
      </c>
      <c r="B5" s="327"/>
      <c r="C5" s="327"/>
      <c r="D5" s="327"/>
      <c r="E5" s="328"/>
      <c r="F5" s="329"/>
      <c r="G5" s="239"/>
      <c r="H5" s="5"/>
      <c r="I5" s="221" t="s">
        <v>254</v>
      </c>
    </row>
    <row r="6" spans="1:15" ht="22.5" customHeight="1">
      <c r="A6" s="6" t="s">
        <v>5</v>
      </c>
      <c r="B6" s="6" t="s">
        <v>250</v>
      </c>
      <c r="C6" s="6" t="s">
        <v>144</v>
      </c>
      <c r="D6" s="237" t="s">
        <v>6</v>
      </c>
      <c r="E6" s="330" t="s">
        <v>7</v>
      </c>
      <c r="F6" s="331"/>
      <c r="G6" s="332"/>
      <c r="H6" s="7" t="s">
        <v>8</v>
      </c>
      <c r="I6" s="8" t="s">
        <v>4</v>
      </c>
    </row>
    <row r="7" spans="1:15" ht="22.5" customHeight="1">
      <c r="A7" s="220" t="s">
        <v>253</v>
      </c>
      <c r="B7" s="220" t="s">
        <v>251</v>
      </c>
      <c r="C7" s="220" t="s">
        <v>253</v>
      </c>
      <c r="D7" s="231" t="s">
        <v>253</v>
      </c>
      <c r="E7" s="231"/>
      <c r="F7" s="232"/>
      <c r="G7" s="232"/>
      <c r="H7" s="7"/>
      <c r="I7" s="8" t="s">
        <v>255</v>
      </c>
    </row>
    <row r="8" spans="1:15" ht="21.75" customHeight="1" thickBot="1">
      <c r="A8" s="9"/>
      <c r="B8" s="9" t="s">
        <v>252</v>
      </c>
      <c r="C8" s="9"/>
      <c r="D8" s="234"/>
      <c r="E8" s="333"/>
      <c r="F8" s="334"/>
      <c r="G8" s="235"/>
      <c r="H8" s="10" t="s">
        <v>10</v>
      </c>
      <c r="I8" s="11" t="s">
        <v>253</v>
      </c>
    </row>
    <row r="9" spans="1:15" ht="21.95" customHeight="1" thickTop="1">
      <c r="A9" s="12"/>
      <c r="B9" s="12"/>
      <c r="C9" s="12"/>
      <c r="D9" s="13">
        <v>8183649.4500000002</v>
      </c>
      <c r="E9" s="14" t="s">
        <v>11</v>
      </c>
      <c r="F9" s="14"/>
      <c r="G9" s="15"/>
      <c r="H9" s="5"/>
      <c r="I9" s="16">
        <v>12487822.76</v>
      </c>
    </row>
    <row r="10" spans="1:15" ht="21.95" customHeight="1">
      <c r="A10" s="17"/>
      <c r="B10" s="17"/>
      <c r="C10" s="17"/>
      <c r="D10" s="16"/>
      <c r="E10" s="18" t="s">
        <v>82</v>
      </c>
      <c r="F10" s="18"/>
      <c r="G10" s="19"/>
      <c r="H10" s="20"/>
      <c r="I10" s="16"/>
    </row>
    <row r="11" spans="1:15" ht="21.95" customHeight="1">
      <c r="A11" s="17">
        <v>124000</v>
      </c>
      <c r="B11" s="17">
        <v>0</v>
      </c>
      <c r="C11" s="17">
        <f>A11+B11</f>
        <v>124000</v>
      </c>
      <c r="D11" s="16">
        <f>109.73+24.33+493.65+5319.55+53442.66</f>
        <v>59389.920000000006</v>
      </c>
      <c r="F11" s="21" t="s">
        <v>12</v>
      </c>
      <c r="G11" s="22"/>
      <c r="H11" s="20" t="s">
        <v>13</v>
      </c>
      <c r="I11" s="23">
        <v>53442.66</v>
      </c>
    </row>
    <row r="12" spans="1:15" ht="21.95" customHeight="1">
      <c r="A12" s="24">
        <v>79500</v>
      </c>
      <c r="B12" s="24">
        <v>0</v>
      </c>
      <c r="C12" s="17">
        <f t="shared" ref="C12:C19" si="0">A12+B12</f>
        <v>79500</v>
      </c>
      <c r="D12" s="23">
        <f>5709+4970+5061+4361.8+11859</f>
        <v>31960.799999999999</v>
      </c>
      <c r="F12" s="21" t="s">
        <v>14</v>
      </c>
      <c r="G12" s="22"/>
      <c r="H12" s="20" t="s">
        <v>15</v>
      </c>
      <c r="I12" s="23">
        <v>11859</v>
      </c>
    </row>
    <row r="13" spans="1:15" ht="21.95" customHeight="1">
      <c r="A13" s="24">
        <v>40000</v>
      </c>
      <c r="B13" s="24">
        <v>0</v>
      </c>
      <c r="C13" s="17">
        <f t="shared" si="0"/>
        <v>40000</v>
      </c>
      <c r="D13" s="23">
        <v>9939.73</v>
      </c>
      <c r="F13" s="21" t="s">
        <v>16</v>
      </c>
      <c r="G13" s="22"/>
      <c r="H13" s="20" t="s">
        <v>17</v>
      </c>
      <c r="I13" s="23">
        <v>0</v>
      </c>
    </row>
    <row r="14" spans="1:15" ht="21.95" customHeight="1">
      <c r="A14" s="24">
        <v>550000</v>
      </c>
      <c r="B14" s="24">
        <v>0</v>
      </c>
      <c r="C14" s="17">
        <f t="shared" si="0"/>
        <v>550000</v>
      </c>
      <c r="D14" s="23">
        <f>41964+45840+48032+15808+72277</f>
        <v>223921</v>
      </c>
      <c r="F14" s="21" t="s">
        <v>18</v>
      </c>
      <c r="G14" s="22"/>
      <c r="H14" s="20" t="s">
        <v>19</v>
      </c>
      <c r="I14" s="23">
        <v>72277</v>
      </c>
    </row>
    <row r="15" spans="1:15" ht="21.95" customHeight="1">
      <c r="A15" s="24">
        <v>205000</v>
      </c>
      <c r="B15" s="24">
        <v>0</v>
      </c>
      <c r="C15" s="17">
        <f t="shared" si="0"/>
        <v>205000</v>
      </c>
      <c r="D15" s="23">
        <v>56000</v>
      </c>
      <c r="F15" s="21" t="s">
        <v>20</v>
      </c>
      <c r="G15" s="22"/>
      <c r="H15" s="20" t="s">
        <v>21</v>
      </c>
      <c r="I15" s="25">
        <v>0</v>
      </c>
    </row>
    <row r="16" spans="1:15" ht="21.95" customHeight="1">
      <c r="A16" s="26">
        <v>1000</v>
      </c>
      <c r="B16" s="26">
        <v>0</v>
      </c>
      <c r="C16" s="17">
        <f t="shared" si="0"/>
        <v>1000</v>
      </c>
      <c r="D16" s="25">
        <v>0</v>
      </c>
      <c r="F16" s="21" t="s">
        <v>22</v>
      </c>
      <c r="G16" s="22"/>
      <c r="H16" s="20" t="s">
        <v>23</v>
      </c>
      <c r="I16" s="25">
        <v>0</v>
      </c>
    </row>
    <row r="17" spans="1:9" ht="21.95" customHeight="1">
      <c r="A17" s="26">
        <v>13850500</v>
      </c>
      <c r="B17" s="26">
        <v>0</v>
      </c>
      <c r="C17" s="17">
        <f t="shared" si="0"/>
        <v>13850500</v>
      </c>
      <c r="D17" s="25">
        <f>622587.18+1515814.67+1101789.53+1278309.96+548433.46</f>
        <v>5066934.8</v>
      </c>
      <c r="F17" s="21" t="s">
        <v>24</v>
      </c>
      <c r="G17" s="22"/>
      <c r="H17" s="20" t="s">
        <v>25</v>
      </c>
      <c r="I17" s="25">
        <v>548433.46</v>
      </c>
    </row>
    <row r="18" spans="1:9" ht="21.95" customHeight="1">
      <c r="A18" s="24">
        <v>7350000</v>
      </c>
      <c r="B18" s="24">
        <v>0</v>
      </c>
      <c r="C18" s="17">
        <f t="shared" si="0"/>
        <v>7350000</v>
      </c>
      <c r="D18" s="23">
        <f>2202181+2271016</f>
        <v>4473197</v>
      </c>
      <c r="F18" s="21" t="s">
        <v>26</v>
      </c>
      <c r="G18" s="22"/>
      <c r="H18" s="20" t="s">
        <v>27</v>
      </c>
      <c r="I18" s="25">
        <v>0</v>
      </c>
    </row>
    <row r="19" spans="1:9" ht="21.95" customHeight="1">
      <c r="A19" s="16">
        <v>0</v>
      </c>
      <c r="B19" s="16">
        <f>3031635+2231000+393135</f>
        <v>5655770</v>
      </c>
      <c r="C19" s="17">
        <f t="shared" si="0"/>
        <v>5655770</v>
      </c>
      <c r="D19" s="16">
        <f>3031635+2231000+393135</f>
        <v>5655770</v>
      </c>
      <c r="F19" s="97" t="s">
        <v>116</v>
      </c>
      <c r="H19" s="20" t="s">
        <v>28</v>
      </c>
      <c r="I19" s="16">
        <v>0</v>
      </c>
    </row>
    <row r="20" spans="1:9" ht="21.95" customHeight="1">
      <c r="A20" s="222"/>
      <c r="B20" s="222"/>
      <c r="C20" s="17"/>
      <c r="D20" s="16">
        <f>130656.73+326614.14+131916.83+139563.96+166489.64</f>
        <v>895241.29999999993</v>
      </c>
      <c r="F20" s="21" t="s">
        <v>83</v>
      </c>
      <c r="G20" s="22"/>
      <c r="H20" s="20" t="s">
        <v>265</v>
      </c>
      <c r="I20" s="23">
        <v>166489.64000000001</v>
      </c>
    </row>
    <row r="21" spans="1:9" ht="21.95" customHeight="1">
      <c r="A21" s="222"/>
      <c r="B21" s="222"/>
      <c r="C21" s="222"/>
      <c r="D21" s="23">
        <f>5380+6480</f>
        <v>11860</v>
      </c>
      <c r="F21" s="21" t="s">
        <v>257</v>
      </c>
      <c r="G21" s="22"/>
      <c r="H21" s="20" t="s">
        <v>266</v>
      </c>
      <c r="I21" s="23">
        <v>0</v>
      </c>
    </row>
    <row r="22" spans="1:9" ht="21.95" customHeight="1">
      <c r="A22" s="222"/>
      <c r="B22" s="222"/>
      <c r="C22" s="222"/>
      <c r="D22" s="23">
        <v>0</v>
      </c>
      <c r="F22" s="21" t="s">
        <v>29</v>
      </c>
      <c r="G22" s="22"/>
      <c r="H22" s="20" t="s">
        <v>267</v>
      </c>
      <c r="I22" s="23">
        <v>0</v>
      </c>
    </row>
    <row r="23" spans="1:9" ht="21.95" customHeight="1">
      <c r="A23" s="222"/>
      <c r="B23" s="222"/>
      <c r="C23" s="222"/>
      <c r="D23" s="23">
        <v>0</v>
      </c>
      <c r="F23" s="21" t="s">
        <v>154</v>
      </c>
      <c r="G23" s="22"/>
      <c r="H23" s="20" t="s">
        <v>268</v>
      </c>
      <c r="I23" s="23">
        <v>0</v>
      </c>
    </row>
    <row r="24" spans="1:9" ht="21.95" customHeight="1">
      <c r="A24" s="222"/>
      <c r="B24" s="222"/>
      <c r="C24" s="222"/>
      <c r="D24" s="23">
        <f>990.11+316.07+904.51+776.74+2432.62</f>
        <v>5420.05</v>
      </c>
      <c r="F24" s="21" t="s">
        <v>72</v>
      </c>
      <c r="G24" s="22"/>
      <c r="H24" s="20" t="s">
        <v>237</v>
      </c>
      <c r="I24" s="23">
        <v>2432.62</v>
      </c>
    </row>
    <row r="25" spans="1:9" ht="21.95" customHeight="1">
      <c r="A25" s="222"/>
      <c r="B25" s="222"/>
      <c r="C25" s="222"/>
      <c r="D25" s="23">
        <v>1500</v>
      </c>
      <c r="F25" s="21" t="s">
        <v>247</v>
      </c>
      <c r="G25" s="22"/>
      <c r="H25" s="20" t="s">
        <v>248</v>
      </c>
      <c r="I25" s="23">
        <v>1500</v>
      </c>
    </row>
    <row r="26" spans="1:9" ht="21.95" customHeight="1">
      <c r="A26" s="222"/>
      <c r="B26" s="222"/>
      <c r="C26" s="222"/>
      <c r="D26" s="23">
        <v>0</v>
      </c>
      <c r="F26" s="21" t="s">
        <v>157</v>
      </c>
      <c r="G26" s="22"/>
      <c r="H26" s="20" t="s">
        <v>269</v>
      </c>
      <c r="I26" s="23">
        <v>0</v>
      </c>
    </row>
    <row r="27" spans="1:9" ht="21.95" customHeight="1">
      <c r="A27" s="222"/>
      <c r="B27" s="222"/>
      <c r="C27" s="222"/>
      <c r="D27" s="23">
        <v>0</v>
      </c>
      <c r="F27" s="21" t="s">
        <v>151</v>
      </c>
      <c r="G27" s="22"/>
      <c r="H27" s="20" t="s">
        <v>270</v>
      </c>
      <c r="I27" s="23">
        <v>0</v>
      </c>
    </row>
    <row r="28" spans="1:9" ht="21.95" customHeight="1">
      <c r="A28" s="222"/>
      <c r="B28" s="222"/>
      <c r="C28" s="222"/>
      <c r="D28" s="23">
        <v>0</v>
      </c>
      <c r="F28" s="21" t="s">
        <v>30</v>
      </c>
      <c r="G28" s="22"/>
      <c r="H28" s="20" t="s">
        <v>271</v>
      </c>
      <c r="I28" s="23">
        <v>0</v>
      </c>
    </row>
    <row r="29" spans="1:9" ht="21.95" customHeight="1">
      <c r="A29" s="222"/>
      <c r="B29" s="222"/>
      <c r="C29" s="222"/>
      <c r="D29" s="23"/>
      <c r="F29" s="21"/>
      <c r="G29" s="22"/>
      <c r="H29" s="20"/>
      <c r="I29" s="23"/>
    </row>
    <row r="30" spans="1:9" ht="21.95" customHeight="1">
      <c r="A30" s="222"/>
      <c r="B30" s="222"/>
      <c r="C30" s="222"/>
      <c r="D30" s="23"/>
      <c r="F30" s="21"/>
      <c r="G30" s="22"/>
      <c r="H30" s="20"/>
      <c r="I30" s="23"/>
    </row>
    <row r="31" spans="1:9" ht="21.95" customHeight="1">
      <c r="A31" s="222"/>
      <c r="B31" s="222"/>
      <c r="C31" s="222"/>
      <c r="D31" s="23"/>
      <c r="F31" s="21"/>
      <c r="G31" s="22"/>
      <c r="H31" s="20"/>
      <c r="I31" s="23"/>
    </row>
    <row r="32" spans="1:9" ht="21.95" customHeight="1">
      <c r="A32" s="222"/>
      <c r="B32" s="222"/>
      <c r="C32" s="222"/>
      <c r="D32" s="23"/>
      <c r="F32" s="21"/>
      <c r="G32" s="22"/>
      <c r="H32" s="20"/>
      <c r="I32" s="23"/>
    </row>
    <row r="33" spans="1:16" ht="21.95" customHeight="1">
      <c r="A33" s="222"/>
      <c r="B33" s="222"/>
      <c r="C33" s="222"/>
      <c r="D33" s="23"/>
      <c r="F33" s="21"/>
      <c r="G33" s="22"/>
      <c r="H33" s="20"/>
      <c r="I33" s="23"/>
    </row>
    <row r="34" spans="1:16" ht="21.95" customHeight="1">
      <c r="A34" s="222"/>
      <c r="B34" s="222"/>
      <c r="C34" s="222"/>
      <c r="D34" s="23"/>
      <c r="F34" s="21"/>
      <c r="G34" s="22"/>
      <c r="H34" s="20"/>
      <c r="I34" s="23"/>
    </row>
    <row r="35" spans="1:16" ht="21.95" customHeight="1">
      <c r="A35" s="222"/>
      <c r="B35" s="222"/>
      <c r="C35" s="222"/>
      <c r="D35" s="23"/>
      <c r="F35" s="21"/>
      <c r="H35" s="20"/>
      <c r="I35" s="23"/>
    </row>
    <row r="36" spans="1:16" ht="21.95" customHeight="1" thickBot="1">
      <c r="A36" s="223">
        <f>SUM(A11:A35)</f>
        <v>22200000</v>
      </c>
      <c r="B36" s="223">
        <f>SUM(B11:B35)</f>
        <v>5655770</v>
      </c>
      <c r="C36" s="223">
        <f>SUM(C11:C35)</f>
        <v>27855770</v>
      </c>
      <c r="D36" s="223">
        <f>SUM(D11:D35)</f>
        <v>16491134.600000001</v>
      </c>
      <c r="E36" s="335" t="s">
        <v>31</v>
      </c>
      <c r="F36" s="336"/>
      <c r="G36" s="224"/>
      <c r="H36" s="226"/>
      <c r="I36" s="223">
        <f>SUM(I11:I35)</f>
        <v>856434.38</v>
      </c>
      <c r="K36" s="29"/>
      <c r="L36" s="30"/>
    </row>
    <row r="37" spans="1:16" ht="21.95" customHeight="1" thickTop="1">
      <c r="A37" s="28"/>
      <c r="B37" s="28"/>
      <c r="C37" s="28"/>
      <c r="D37" s="31"/>
      <c r="E37" s="232"/>
      <c r="F37" s="232"/>
      <c r="G37" s="232"/>
      <c r="H37" s="225"/>
      <c r="I37" s="31"/>
      <c r="K37" s="29"/>
      <c r="L37" s="30"/>
    </row>
    <row r="38" spans="1:16" ht="21.95" customHeight="1">
      <c r="A38" s="28"/>
      <c r="B38" s="28"/>
      <c r="C38" s="28"/>
      <c r="D38" s="31"/>
      <c r="E38" s="232"/>
      <c r="F38" s="232"/>
      <c r="G38" s="232"/>
      <c r="H38" s="225"/>
      <c r="I38" s="31"/>
      <c r="K38" s="29"/>
      <c r="L38" s="30"/>
    </row>
    <row r="39" spans="1:16" ht="21.95" customHeight="1">
      <c r="A39" s="28"/>
      <c r="B39" s="28"/>
      <c r="C39" s="28"/>
      <c r="D39" s="31"/>
      <c r="E39" s="232"/>
      <c r="F39" s="232"/>
      <c r="G39" s="232"/>
      <c r="H39" s="225"/>
      <c r="I39" s="31"/>
      <c r="K39" s="29"/>
      <c r="L39" s="30"/>
    </row>
    <row r="40" spans="1:16" ht="21.95" customHeight="1">
      <c r="A40" s="337" t="s">
        <v>32</v>
      </c>
      <c r="B40" s="337"/>
      <c r="C40" s="337"/>
      <c r="D40" s="337"/>
      <c r="E40" s="337"/>
      <c r="F40" s="337"/>
      <c r="G40" s="337"/>
      <c r="H40" s="337"/>
      <c r="I40" s="337"/>
    </row>
    <row r="41" spans="1:16" ht="22.5" customHeight="1">
      <c r="A41" s="336" t="s">
        <v>3</v>
      </c>
      <c r="B41" s="338"/>
      <c r="C41" s="338"/>
      <c r="D41" s="338"/>
      <c r="E41" s="339"/>
      <c r="F41" s="340"/>
      <c r="G41" s="238"/>
      <c r="H41" s="32"/>
      <c r="I41" s="236" t="s">
        <v>4</v>
      </c>
    </row>
    <row r="42" spans="1:16" ht="22.5" customHeight="1">
      <c r="A42" s="6" t="s">
        <v>5</v>
      </c>
      <c r="B42" s="6" t="s">
        <v>250</v>
      </c>
      <c r="C42" s="6" t="s">
        <v>144</v>
      </c>
      <c r="D42" s="237" t="s">
        <v>6</v>
      </c>
      <c r="E42" s="330" t="s">
        <v>7</v>
      </c>
      <c r="F42" s="331"/>
      <c r="G42" s="332"/>
      <c r="H42" s="7" t="s">
        <v>8</v>
      </c>
      <c r="I42" s="8" t="s">
        <v>6</v>
      </c>
    </row>
    <row r="43" spans="1:16" ht="22.5" customHeight="1">
      <c r="A43" s="220" t="s">
        <v>253</v>
      </c>
      <c r="B43" s="220" t="s">
        <v>251</v>
      </c>
      <c r="C43" s="220" t="s">
        <v>253</v>
      </c>
      <c r="D43" s="231" t="s">
        <v>253</v>
      </c>
      <c r="E43" s="231"/>
      <c r="F43" s="232"/>
      <c r="G43" s="232"/>
      <c r="H43" s="7"/>
      <c r="I43" s="8"/>
    </row>
    <row r="44" spans="1:16" ht="21.95" customHeight="1" thickBot="1">
      <c r="A44" s="9"/>
      <c r="B44" s="9" t="s">
        <v>252</v>
      </c>
      <c r="C44" s="9"/>
      <c r="D44" s="234"/>
      <c r="E44" s="341"/>
      <c r="F44" s="342"/>
      <c r="G44" s="233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33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1215300+1034000-1039000</f>
        <v>1210300</v>
      </c>
      <c r="B46" s="17">
        <f>2435575+1736200+7695</f>
        <v>4179470</v>
      </c>
      <c r="C46" s="17">
        <f>SUM(A46:B46)</f>
        <v>5389770</v>
      </c>
      <c r="D46" s="24">
        <f>1634203+1248195.29+814933+812033</f>
        <v>4509364.29</v>
      </c>
      <c r="E46" s="39"/>
      <c r="F46" s="21" t="s">
        <v>34</v>
      </c>
      <c r="G46" s="22"/>
      <c r="H46" s="20" t="s">
        <v>35</v>
      </c>
      <c r="I46" s="23">
        <v>812033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f>218720+218720+218720+218720+218720</f>
        <v>1093600</v>
      </c>
      <c r="E47" s="42"/>
      <c r="F47" s="21" t="s">
        <v>36</v>
      </c>
      <c r="G47" s="22"/>
      <c r="H47" s="20" t="s">
        <v>37</v>
      </c>
      <c r="I47" s="23">
        <v>218720</v>
      </c>
      <c r="P47" s="4"/>
    </row>
    <row r="48" spans="1:16" ht="21.95" customHeight="1">
      <c r="A48" s="41">
        <v>6610200</v>
      </c>
      <c r="B48" s="17">
        <f>499460+192540+153900</f>
        <v>845900</v>
      </c>
      <c r="C48" s="17">
        <f t="shared" si="1"/>
        <v>7456100</v>
      </c>
      <c r="D48" s="24">
        <f>519720+789930+633425+796382.74+646585</f>
        <v>3386042.74</v>
      </c>
      <c r="E48" s="42"/>
      <c r="F48" s="21" t="s">
        <v>38</v>
      </c>
      <c r="G48" s="22"/>
      <c r="H48" s="20" t="s">
        <v>39</v>
      </c>
      <c r="I48" s="23">
        <v>646585</v>
      </c>
      <c r="P48" s="4"/>
    </row>
    <row r="49" spans="1:16" ht="21.95" customHeight="1">
      <c r="A49" s="41">
        <v>373000</v>
      </c>
      <c r="B49" s="17">
        <v>0</v>
      </c>
      <c r="C49" s="17">
        <f t="shared" si="1"/>
        <v>373000</v>
      </c>
      <c r="D49" s="24">
        <f>42564+16960+27280+22940</f>
        <v>109744</v>
      </c>
      <c r="E49" s="42"/>
      <c r="F49" s="21" t="s">
        <v>40</v>
      </c>
      <c r="G49" s="22"/>
      <c r="H49" s="20" t="s">
        <v>41</v>
      </c>
      <c r="I49" s="23">
        <v>22940</v>
      </c>
      <c r="P49" s="4"/>
    </row>
    <row r="50" spans="1:16" ht="21.95" customHeight="1">
      <c r="A50" s="41">
        <f>2763000-5800+51510-16510-35000+15000-15000-10700</f>
        <v>2746500</v>
      </c>
      <c r="B50" s="17">
        <v>0</v>
      </c>
      <c r="C50" s="17">
        <f t="shared" si="1"/>
        <v>2746500</v>
      </c>
      <c r="D50" s="24">
        <f>5700+181894+150516+220308+71010</f>
        <v>629428</v>
      </c>
      <c r="E50" s="42"/>
      <c r="F50" s="21" t="s">
        <v>42</v>
      </c>
      <c r="G50" s="22"/>
      <c r="H50" s="20" t="s">
        <v>43</v>
      </c>
      <c r="I50" s="23">
        <v>71010</v>
      </c>
      <c r="P50" s="4"/>
    </row>
    <row r="51" spans="1:16" ht="21.95" customHeight="1">
      <c r="A51" s="16">
        <v>1732860</v>
      </c>
      <c r="B51" s="17">
        <v>96600</v>
      </c>
      <c r="C51" s="17">
        <f t="shared" si="1"/>
        <v>1829460</v>
      </c>
      <c r="D51" s="24">
        <f>73662+190087.32+97088+84027.65</f>
        <v>444864.97</v>
      </c>
      <c r="E51" s="42"/>
      <c r="F51" s="21" t="s">
        <v>44</v>
      </c>
      <c r="G51" s="22"/>
      <c r="H51" s="20" t="s">
        <v>45</v>
      </c>
      <c r="I51" s="23">
        <v>84027.65</v>
      </c>
      <c r="P51" s="4"/>
    </row>
    <row r="52" spans="1:16" ht="21.95" customHeight="1">
      <c r="A52" s="16">
        <v>638000</v>
      </c>
      <c r="B52" s="17">
        <v>0</v>
      </c>
      <c r="C52" s="17">
        <f t="shared" si="1"/>
        <v>638000</v>
      </c>
      <c r="D52" s="24">
        <f>36009.34+47516.98+45002.15+54660.41+41194.85</f>
        <v>224383.73</v>
      </c>
      <c r="E52" s="42"/>
      <c r="F52" s="21" t="s">
        <v>46</v>
      </c>
      <c r="G52" s="22"/>
      <c r="H52" s="20" t="s">
        <v>47</v>
      </c>
      <c r="I52" s="23">
        <v>41194.85</v>
      </c>
      <c r="P52" s="4"/>
    </row>
    <row r="53" spans="1:16" ht="21.95" customHeight="1">
      <c r="A53" s="16">
        <f>328000+3200-3200-9300</f>
        <v>318700</v>
      </c>
      <c r="B53" s="17">
        <v>0</v>
      </c>
      <c r="C53" s="17">
        <f t="shared" si="1"/>
        <v>318700</v>
      </c>
      <c r="D53" s="24">
        <f>6650+117550</f>
        <v>124200</v>
      </c>
      <c r="E53" s="42"/>
      <c r="F53" s="21" t="s">
        <v>48</v>
      </c>
      <c r="G53" s="22"/>
      <c r="H53" s="43">
        <v>541000</v>
      </c>
      <c r="I53" s="23">
        <v>117550</v>
      </c>
      <c r="P53" s="4"/>
    </row>
    <row r="54" spans="1:16" ht="21.95" customHeight="1">
      <c r="A54" s="16">
        <f>4523000-598000-436000+593000+446000</f>
        <v>4528000</v>
      </c>
      <c r="B54" s="17">
        <v>494800</v>
      </c>
      <c r="C54" s="17">
        <f t="shared" si="1"/>
        <v>5022800</v>
      </c>
      <c r="D54" s="24">
        <f>540800+652000</f>
        <v>1192800</v>
      </c>
      <c r="E54" s="42"/>
      <c r="F54" s="21" t="s">
        <v>49</v>
      </c>
      <c r="G54" s="22"/>
      <c r="H54" s="20" t="s">
        <v>50</v>
      </c>
      <c r="I54" s="23">
        <v>652000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51</v>
      </c>
      <c r="G55" s="22"/>
      <c r="H55" s="20" t="s">
        <v>52</v>
      </c>
      <c r="I55" s="23">
        <v>0</v>
      </c>
      <c r="P55" s="4"/>
    </row>
    <row r="56" spans="1:16" ht="21.95" customHeight="1">
      <c r="A56" s="16">
        <f>1392000+5800+20000</f>
        <v>1417800</v>
      </c>
      <c r="B56" s="16">
        <v>39000</v>
      </c>
      <c r="C56" s="17">
        <f t="shared" si="1"/>
        <v>1456800</v>
      </c>
      <c r="D56" s="23">
        <f>3000+25000+272000+380758.87+92000</f>
        <v>772758.87</v>
      </c>
      <c r="E56" s="27"/>
      <c r="F56" s="21" t="s">
        <v>53</v>
      </c>
      <c r="H56" s="20" t="s">
        <v>54</v>
      </c>
      <c r="I56" s="23">
        <v>92000</v>
      </c>
      <c r="P56" s="4"/>
    </row>
    <row r="57" spans="1:16" ht="21.95" customHeight="1">
      <c r="A57" s="16"/>
      <c r="B57" s="16"/>
      <c r="C57" s="16"/>
      <c r="D57" s="16">
        <f>46940.46+243135.87+139288.24+133234.29+132227.15</f>
        <v>694826.01</v>
      </c>
      <c r="E57" s="27"/>
      <c r="F57" s="97" t="s">
        <v>158</v>
      </c>
      <c r="H57" s="20" t="s">
        <v>265</v>
      </c>
      <c r="I57" s="16">
        <v>132227.15</v>
      </c>
      <c r="P57" s="44"/>
    </row>
    <row r="58" spans="1:16" ht="21.95" customHeight="1">
      <c r="A58" s="222"/>
      <c r="B58" s="222"/>
      <c r="C58" s="222"/>
      <c r="D58" s="23">
        <v>0</v>
      </c>
      <c r="E58" s="27"/>
      <c r="F58" s="21" t="s">
        <v>151</v>
      </c>
      <c r="G58" s="22"/>
      <c r="H58" s="20" t="s">
        <v>268</v>
      </c>
      <c r="I58" s="23">
        <v>0</v>
      </c>
    </row>
    <row r="59" spans="1:16" ht="21.95" customHeight="1">
      <c r="A59" s="222"/>
      <c r="B59" s="222"/>
      <c r="C59" s="222"/>
      <c r="D59" s="23">
        <v>644847.80000000005</v>
      </c>
      <c r="E59" s="27"/>
      <c r="F59" s="21" t="s">
        <v>152</v>
      </c>
      <c r="G59" s="22"/>
      <c r="H59" s="20" t="s">
        <v>242</v>
      </c>
      <c r="I59" s="23">
        <v>0</v>
      </c>
    </row>
    <row r="60" spans="1:16" ht="21.95" customHeight="1">
      <c r="A60" s="222"/>
      <c r="B60" s="222"/>
      <c r="C60" s="222"/>
      <c r="D60" s="23">
        <v>108392.15</v>
      </c>
      <c r="E60" s="27"/>
      <c r="F60" s="21" t="s">
        <v>142</v>
      </c>
      <c r="H60" s="20" t="s">
        <v>272</v>
      </c>
      <c r="I60" s="23">
        <v>0</v>
      </c>
    </row>
    <row r="61" spans="1:16" ht="21.95" customHeight="1">
      <c r="A61" s="222"/>
      <c r="B61" s="222"/>
      <c r="C61" s="222"/>
      <c r="D61" s="23">
        <f>207722+6480+58792+12568+7276</f>
        <v>292838</v>
      </c>
      <c r="E61" s="27"/>
      <c r="F61" s="21" t="s">
        <v>257</v>
      </c>
      <c r="H61" s="20" t="s">
        <v>258</v>
      </c>
      <c r="I61" s="23">
        <v>7276</v>
      </c>
    </row>
    <row r="62" spans="1:16" ht="21.95" customHeight="1">
      <c r="A62" s="222"/>
      <c r="B62" s="222"/>
      <c r="C62" s="222"/>
      <c r="D62" s="23">
        <v>0</v>
      </c>
      <c r="E62" s="27"/>
      <c r="F62" s="21" t="s">
        <v>30</v>
      </c>
      <c r="H62" s="20"/>
      <c r="I62" s="23">
        <v>0</v>
      </c>
    </row>
    <row r="63" spans="1:16" ht="21.95" customHeight="1">
      <c r="A63" s="222"/>
      <c r="B63" s="222"/>
      <c r="C63" s="222"/>
      <c r="D63" s="23"/>
      <c r="E63" s="27"/>
      <c r="F63" s="21"/>
      <c r="H63" s="20"/>
      <c r="I63" s="23"/>
    </row>
    <row r="64" spans="1:16" ht="21.95" customHeight="1">
      <c r="A64" s="222"/>
      <c r="B64" s="222"/>
      <c r="C64" s="222"/>
      <c r="D64" s="23"/>
      <c r="E64" s="27"/>
      <c r="F64" s="21"/>
      <c r="H64" s="20"/>
      <c r="I64" s="23"/>
    </row>
    <row r="65" spans="1:9" ht="21.95" customHeight="1">
      <c r="A65" s="222"/>
      <c r="B65" s="222"/>
      <c r="C65" s="222"/>
      <c r="D65" s="23"/>
      <c r="E65" s="27"/>
      <c r="F65" s="21"/>
      <c r="H65" s="20"/>
      <c r="I65" s="23"/>
    </row>
    <row r="66" spans="1:9" ht="21.95" customHeight="1">
      <c r="A66" s="222"/>
      <c r="B66" s="222"/>
      <c r="C66" s="222"/>
      <c r="D66" s="23"/>
      <c r="E66" s="27"/>
      <c r="F66" s="21"/>
      <c r="H66" s="20"/>
      <c r="I66" s="23"/>
    </row>
    <row r="67" spans="1:9" ht="21.95" customHeight="1">
      <c r="A67" s="222"/>
      <c r="B67" s="222"/>
      <c r="C67" s="222"/>
      <c r="D67" s="23"/>
      <c r="E67" s="27"/>
      <c r="F67" s="21"/>
      <c r="H67" s="20"/>
      <c r="I67" s="23"/>
    </row>
    <row r="68" spans="1:9" ht="21.95" customHeight="1">
      <c r="A68" s="222"/>
      <c r="B68" s="222"/>
      <c r="C68" s="222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223">
        <f>SUM(A46:A68)</f>
        <v>22200000</v>
      </c>
      <c r="B69" s="223">
        <f t="shared" ref="B69:C69" si="2">SUM(B46:B68)</f>
        <v>5655770</v>
      </c>
      <c r="C69" s="223">
        <f t="shared" si="2"/>
        <v>27855770</v>
      </c>
      <c r="D69" s="223">
        <f>SUM(D46:D68)</f>
        <v>14228090.560000002</v>
      </c>
      <c r="E69" s="343" t="s">
        <v>55</v>
      </c>
      <c r="F69" s="344"/>
      <c r="G69" s="344"/>
      <c r="H69" s="345"/>
      <c r="I69" s="223">
        <f>SUM(I46:I68)</f>
        <v>2897563.65</v>
      </c>
    </row>
    <row r="70" spans="1:9" ht="21.95" customHeight="1" thickTop="1">
      <c r="A70" s="28"/>
      <c r="B70" s="28"/>
      <c r="C70" s="28"/>
      <c r="D70" s="227">
        <f>D36-D69</f>
        <v>2263044.0399999991</v>
      </c>
      <c r="E70" s="330" t="s">
        <v>56</v>
      </c>
      <c r="F70" s="331"/>
      <c r="G70" s="331"/>
      <c r="H70" s="332"/>
      <c r="I70" s="227"/>
    </row>
    <row r="71" spans="1:9" ht="18.75" customHeight="1">
      <c r="A71" s="28"/>
      <c r="B71" s="28"/>
      <c r="C71" s="28"/>
      <c r="D71" s="38"/>
      <c r="E71" s="330" t="s">
        <v>57</v>
      </c>
      <c r="F71" s="331"/>
      <c r="G71" s="331"/>
      <c r="H71" s="332"/>
      <c r="I71" s="222"/>
    </row>
    <row r="72" spans="1:9" ht="21.75" customHeight="1">
      <c r="D72" s="227"/>
      <c r="E72" s="330" t="s">
        <v>58</v>
      </c>
      <c r="F72" s="331"/>
      <c r="G72" s="331"/>
      <c r="H72" s="332"/>
      <c r="I72" s="227">
        <f>I36-I69</f>
        <v>-2041129.27</v>
      </c>
    </row>
    <row r="73" spans="1:9" ht="21.95" customHeight="1">
      <c r="D73" s="228">
        <f>D9+D70+D72</f>
        <v>10446693.489999998</v>
      </c>
      <c r="E73" s="330" t="s">
        <v>59</v>
      </c>
      <c r="F73" s="331"/>
      <c r="G73" s="331"/>
      <c r="H73" s="332"/>
      <c r="I73" s="229">
        <f>I9+I70+I72</f>
        <v>10446693.49</v>
      </c>
    </row>
    <row r="74" spans="1:9" ht="9.75" customHeight="1">
      <c r="D74" s="31"/>
      <c r="E74" s="232"/>
      <c r="F74" s="232"/>
      <c r="G74" s="232"/>
      <c r="H74" s="232"/>
      <c r="I74" s="31"/>
    </row>
    <row r="75" spans="1:9" ht="12.75" customHeight="1">
      <c r="D75" s="31"/>
      <c r="E75" s="232"/>
      <c r="F75" s="232"/>
      <c r="G75" s="232"/>
      <c r="H75" s="232"/>
      <c r="I75" s="31"/>
    </row>
    <row r="76" spans="1:9" ht="21.95" customHeight="1">
      <c r="A76" s="346" t="s">
        <v>60</v>
      </c>
      <c r="B76" s="346"/>
      <c r="C76" s="346"/>
      <c r="D76" s="346" t="s">
        <v>60</v>
      </c>
      <c r="E76" s="346"/>
      <c r="F76" s="346"/>
      <c r="G76" s="346" t="s">
        <v>60</v>
      </c>
      <c r="H76" s="346"/>
      <c r="I76" s="346"/>
    </row>
    <row r="77" spans="1:9" ht="21.95" customHeight="1">
      <c r="A77" s="346" t="s">
        <v>61</v>
      </c>
      <c r="B77" s="346"/>
      <c r="C77" s="346"/>
      <c r="D77" s="346" t="s">
        <v>62</v>
      </c>
      <c r="E77" s="346"/>
      <c r="F77" s="346"/>
      <c r="G77" s="346" t="s">
        <v>63</v>
      </c>
      <c r="H77" s="346"/>
      <c r="I77" s="346"/>
    </row>
    <row r="78" spans="1:9" ht="21.95" customHeight="1">
      <c r="A78" s="346" t="s">
        <v>84</v>
      </c>
      <c r="B78" s="346"/>
      <c r="C78" s="346"/>
      <c r="D78" s="346" t="s">
        <v>64</v>
      </c>
      <c r="E78" s="346"/>
      <c r="F78" s="346"/>
      <c r="G78" s="346" t="s">
        <v>65</v>
      </c>
      <c r="H78" s="346"/>
      <c r="I78" s="346"/>
    </row>
    <row r="79" spans="1:9" ht="21.95" customHeight="1">
      <c r="A79" s="347"/>
      <c r="B79" s="347"/>
      <c r="C79" s="347"/>
      <c r="D79" s="347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6:F36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topLeftCell="K19" zoomScaleSheetLayoutView="100" workbookViewId="0">
      <selection activeCell="R16" sqref="R16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9.875" style="265" bestFit="1" customWidth="1"/>
    <col min="6" max="6" width="8.125" style="265" bestFit="1" customWidth="1"/>
    <col min="7" max="7" width="9.875" style="265" bestFit="1" customWidth="1"/>
    <col min="8" max="9" width="11.25" style="265" bestFit="1" customWidth="1"/>
    <col min="10" max="10" width="5.25" style="265" bestFit="1" customWidth="1"/>
    <col min="11" max="12" width="11.25" style="265" bestFit="1" customWidth="1"/>
    <col min="13" max="18" width="9" style="265" bestFit="1" customWidth="1"/>
    <col min="19" max="19" width="5.25" style="265" bestFit="1" customWidth="1"/>
    <col min="20" max="21" width="11.25" style="265" bestFit="1" customWidth="1"/>
    <col min="22" max="22" width="12.12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ht="21" customHeight="1" thickBot="1">
      <c r="A1" s="402" t="s">
        <v>204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2" spans="1:22" s="271" customFormat="1" ht="21" customHeight="1">
      <c r="A2" s="266" t="s">
        <v>162</v>
      </c>
      <c r="B2" s="396" t="s">
        <v>163</v>
      </c>
      <c r="C2" s="397"/>
      <c r="D2" s="398"/>
      <c r="E2" s="396" t="s">
        <v>164</v>
      </c>
      <c r="F2" s="398"/>
      <c r="G2" s="396" t="s">
        <v>165</v>
      </c>
      <c r="H2" s="398"/>
      <c r="I2" s="267" t="s">
        <v>166</v>
      </c>
      <c r="J2" s="268" t="s">
        <v>291</v>
      </c>
      <c r="K2" s="396" t="s">
        <v>167</v>
      </c>
      <c r="L2" s="398"/>
      <c r="M2" s="399" t="s">
        <v>168</v>
      </c>
      <c r="N2" s="400"/>
      <c r="O2" s="396" t="s">
        <v>169</v>
      </c>
      <c r="P2" s="397"/>
      <c r="Q2" s="398"/>
      <c r="R2" s="399" t="s">
        <v>170</v>
      </c>
      <c r="S2" s="400"/>
      <c r="T2" s="269" t="s">
        <v>171</v>
      </c>
      <c r="U2" s="267" t="s">
        <v>172</v>
      </c>
      <c r="V2" s="270" t="s">
        <v>144</v>
      </c>
    </row>
    <row r="3" spans="1:22" s="271" customFormat="1" ht="21" customHeight="1" thickBot="1">
      <c r="A3" s="272" t="s">
        <v>173</v>
      </c>
      <c r="B3" s="273" t="s">
        <v>174</v>
      </c>
      <c r="C3" s="274" t="s">
        <v>175</v>
      </c>
      <c r="D3" s="274" t="s">
        <v>176</v>
      </c>
      <c r="E3" s="275" t="s">
        <v>177</v>
      </c>
      <c r="F3" s="275" t="s">
        <v>292</v>
      </c>
      <c r="G3" s="273" t="s">
        <v>209</v>
      </c>
      <c r="H3" s="273" t="s">
        <v>178</v>
      </c>
      <c r="I3" s="273" t="s">
        <v>179</v>
      </c>
      <c r="J3" s="276" t="s">
        <v>293</v>
      </c>
      <c r="K3" s="275" t="s">
        <v>180</v>
      </c>
      <c r="L3" s="275" t="s">
        <v>181</v>
      </c>
      <c r="M3" s="277" t="s">
        <v>182</v>
      </c>
      <c r="N3" s="277" t="s">
        <v>210</v>
      </c>
      <c r="O3" s="278" t="s">
        <v>183</v>
      </c>
      <c r="P3" s="274" t="s">
        <v>184</v>
      </c>
      <c r="Q3" s="279" t="s">
        <v>185</v>
      </c>
      <c r="R3" s="277" t="s">
        <v>186</v>
      </c>
      <c r="S3" s="277" t="s">
        <v>294</v>
      </c>
      <c r="T3" s="277" t="s">
        <v>187</v>
      </c>
      <c r="U3" s="275" t="s">
        <v>188</v>
      </c>
      <c r="V3" s="280"/>
    </row>
    <row r="4" spans="1:22" ht="21" customHeight="1">
      <c r="A4" s="292">
        <v>541000</v>
      </c>
      <c r="B4" s="290"/>
      <c r="C4" s="303"/>
      <c r="D4" s="294"/>
      <c r="E4" s="293"/>
      <c r="F4" s="293"/>
      <c r="G4" s="294"/>
      <c r="H4" s="294"/>
      <c r="I4" s="293"/>
      <c r="J4" s="290"/>
      <c r="K4" s="293"/>
      <c r="L4" s="293"/>
      <c r="M4" s="288"/>
      <c r="N4" s="288"/>
      <c r="O4" s="288"/>
      <c r="P4" s="293"/>
      <c r="Q4" s="293"/>
      <c r="R4" s="288"/>
      <c r="S4" s="288"/>
      <c r="T4" s="288"/>
      <c r="U4" s="293"/>
      <c r="V4" s="288"/>
    </row>
    <row r="5" spans="1:22" ht="21" customHeight="1">
      <c r="A5" s="306">
        <v>410100</v>
      </c>
      <c r="B5" s="296">
        <f>12000-12000</f>
        <v>0</v>
      </c>
      <c r="C5" s="296">
        <v>0</v>
      </c>
      <c r="D5" s="296">
        <f>6000-6000</f>
        <v>0</v>
      </c>
      <c r="E5" s="296">
        <v>0</v>
      </c>
      <c r="F5" s="296">
        <v>0</v>
      </c>
      <c r="G5" s="296">
        <v>0</v>
      </c>
      <c r="H5" s="296">
        <v>0</v>
      </c>
      <c r="I5" s="296">
        <v>0</v>
      </c>
      <c r="J5" s="296">
        <v>0</v>
      </c>
      <c r="K5" s="296">
        <f>6000-6000</f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88">
        <f t="shared" ref="V5:V12" si="0">SUM(B5:U5)</f>
        <v>0</v>
      </c>
    </row>
    <row r="6" spans="1:22" ht="21" customHeight="1">
      <c r="A6" s="295">
        <v>410300</v>
      </c>
      <c r="B6" s="296">
        <v>0</v>
      </c>
      <c r="C6" s="296">
        <v>0</v>
      </c>
      <c r="D6" s="296">
        <v>0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20000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296">
        <v>0</v>
      </c>
      <c r="S6" s="296">
        <v>0</v>
      </c>
      <c r="T6" s="296">
        <v>0</v>
      </c>
      <c r="U6" s="296">
        <v>0</v>
      </c>
      <c r="V6" s="288">
        <f t="shared" ref="V6" si="1">SUM(B6:U6)</f>
        <v>20000</v>
      </c>
    </row>
    <row r="7" spans="1:22" ht="21" customHeight="1">
      <c r="A7" s="295">
        <v>410400</v>
      </c>
      <c r="B7" s="296">
        <v>0</v>
      </c>
      <c r="C7" s="296">
        <v>0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296">
        <v>0</v>
      </c>
      <c r="J7" s="296">
        <v>0</v>
      </c>
      <c r="K7" s="296">
        <v>0</v>
      </c>
      <c r="L7" s="296">
        <v>0</v>
      </c>
      <c r="M7" s="296">
        <v>0</v>
      </c>
      <c r="N7" s="296">
        <v>0</v>
      </c>
      <c r="O7" s="296">
        <v>0</v>
      </c>
      <c r="P7" s="296">
        <v>0</v>
      </c>
      <c r="Q7" s="296">
        <v>0</v>
      </c>
      <c r="R7" s="296">
        <v>0</v>
      </c>
      <c r="S7" s="296">
        <v>0</v>
      </c>
      <c r="T7" s="296">
        <v>25000</v>
      </c>
      <c r="U7" s="296">
        <v>0</v>
      </c>
      <c r="V7" s="288">
        <f t="shared" si="0"/>
        <v>25000</v>
      </c>
    </row>
    <row r="8" spans="1:22" ht="21" customHeight="1">
      <c r="A8" s="295">
        <v>410900</v>
      </c>
      <c r="B8" s="296">
        <v>0</v>
      </c>
      <c r="C8" s="296">
        <v>0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88">
        <f t="shared" si="0"/>
        <v>0</v>
      </c>
    </row>
    <row r="9" spans="1:22" ht="21" customHeight="1">
      <c r="A9" s="295">
        <v>411300</v>
      </c>
      <c r="B9" s="296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f>25000+34000+3200-3200-9300</f>
        <v>49700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0</v>
      </c>
      <c r="V9" s="288">
        <f t="shared" ref="V9" si="2">SUM(B9:U9)</f>
        <v>49700</v>
      </c>
    </row>
    <row r="10" spans="1:22" ht="21" customHeight="1">
      <c r="A10" s="295">
        <v>411600</v>
      </c>
      <c r="B10" s="296">
        <f>16000-16000</f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88">
        <f t="shared" si="0"/>
        <v>0</v>
      </c>
    </row>
    <row r="11" spans="1:22" ht="21" customHeight="1">
      <c r="A11" s="295">
        <v>411800</v>
      </c>
      <c r="B11" s="296">
        <f>150000-6650-74650</f>
        <v>68700</v>
      </c>
      <c r="C11" s="296">
        <v>0</v>
      </c>
      <c r="D11" s="296">
        <v>14000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f>20000-2900</f>
        <v>17100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88">
        <f t="shared" si="0"/>
        <v>99800</v>
      </c>
    </row>
    <row r="12" spans="1:22" ht="21" customHeight="1">
      <c r="A12" s="289" t="s">
        <v>197</v>
      </c>
      <c r="B12" s="293">
        <f t="shared" ref="B12:U12" si="3">SUM(B5:B11)</f>
        <v>68700</v>
      </c>
      <c r="C12" s="293">
        <f t="shared" si="3"/>
        <v>0</v>
      </c>
      <c r="D12" s="293">
        <f t="shared" si="3"/>
        <v>14000</v>
      </c>
      <c r="E12" s="293">
        <f t="shared" si="3"/>
        <v>0</v>
      </c>
      <c r="F12" s="293">
        <f t="shared" si="3"/>
        <v>0</v>
      </c>
      <c r="G12" s="293">
        <f t="shared" si="3"/>
        <v>0</v>
      </c>
      <c r="H12" s="293">
        <f t="shared" si="3"/>
        <v>0</v>
      </c>
      <c r="I12" s="293">
        <f t="shared" si="3"/>
        <v>0</v>
      </c>
      <c r="J12" s="293">
        <f t="shared" si="3"/>
        <v>0</v>
      </c>
      <c r="K12" s="293">
        <f t="shared" si="3"/>
        <v>37100</v>
      </c>
      <c r="L12" s="293">
        <f t="shared" si="3"/>
        <v>49700</v>
      </c>
      <c r="M12" s="293">
        <f t="shared" si="3"/>
        <v>0</v>
      </c>
      <c r="N12" s="293">
        <f t="shared" si="3"/>
        <v>0</v>
      </c>
      <c r="O12" s="293">
        <f t="shared" si="3"/>
        <v>0</v>
      </c>
      <c r="P12" s="293">
        <f t="shared" si="3"/>
        <v>0</v>
      </c>
      <c r="Q12" s="293">
        <f t="shared" si="3"/>
        <v>0</v>
      </c>
      <c r="R12" s="293">
        <f t="shared" si="3"/>
        <v>0</v>
      </c>
      <c r="S12" s="293">
        <f t="shared" si="3"/>
        <v>0</v>
      </c>
      <c r="T12" s="293">
        <f t="shared" si="3"/>
        <v>25000</v>
      </c>
      <c r="U12" s="293">
        <f t="shared" si="3"/>
        <v>0</v>
      </c>
      <c r="V12" s="288">
        <f t="shared" si="0"/>
        <v>194500</v>
      </c>
    </row>
    <row r="13" spans="1:22" ht="21" customHeight="1">
      <c r="A13" s="292">
        <v>542000</v>
      </c>
      <c r="B13" s="290"/>
      <c r="C13" s="303"/>
      <c r="D13" s="294"/>
      <c r="E13" s="293"/>
      <c r="F13" s="293"/>
      <c r="G13" s="294"/>
      <c r="H13" s="294"/>
      <c r="I13" s="293"/>
      <c r="J13" s="290"/>
      <c r="K13" s="293"/>
      <c r="L13" s="293"/>
      <c r="M13" s="288"/>
      <c r="N13" s="288"/>
      <c r="O13" s="293"/>
      <c r="P13" s="293"/>
      <c r="Q13" s="293"/>
      <c r="R13" s="288"/>
      <c r="S13" s="288"/>
      <c r="T13" s="288"/>
      <c r="U13" s="293"/>
      <c r="V13" s="288"/>
    </row>
    <row r="14" spans="1:22">
      <c r="A14" s="295">
        <v>420200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>SUM(B14:U14)</f>
        <v>0</v>
      </c>
    </row>
    <row r="15" spans="1:22">
      <c r="A15" s="295">
        <v>420900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f>1078000+885000-598000-436000+593000+446000-479000</f>
        <v>1489000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254000</v>
      </c>
      <c r="U15" s="296">
        <v>0</v>
      </c>
      <c r="V15" s="288">
        <f>SUM(B15:U15)</f>
        <v>1743000</v>
      </c>
    </row>
    <row r="16" spans="1:22">
      <c r="A16" s="295">
        <v>421000</v>
      </c>
      <c r="B16" s="296">
        <v>473000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f>99000+185000+172000+99000+149000+155000+173000+185000+161000+111000+170000+124000-173000</f>
        <v>1610000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f>50000-46000</f>
        <v>4000</v>
      </c>
      <c r="U16" s="296">
        <v>0</v>
      </c>
      <c r="V16" s="288">
        <f>SUM(B16:U16)</f>
        <v>2087000</v>
      </c>
    </row>
    <row r="17" spans="1:22" ht="21" customHeight="1">
      <c r="A17" s="289" t="s">
        <v>197</v>
      </c>
      <c r="B17" s="293">
        <f>SUM(B14:B16)</f>
        <v>473000</v>
      </c>
      <c r="C17" s="293">
        <f t="shared" ref="C17:U17" si="4">SUM(C14:C16)</f>
        <v>0</v>
      </c>
      <c r="D17" s="293">
        <f t="shared" si="4"/>
        <v>0</v>
      </c>
      <c r="E17" s="293">
        <f t="shared" si="4"/>
        <v>0</v>
      </c>
      <c r="F17" s="293">
        <f t="shared" si="4"/>
        <v>0</v>
      </c>
      <c r="G17" s="293">
        <f t="shared" si="4"/>
        <v>0</v>
      </c>
      <c r="H17" s="293">
        <f t="shared" si="4"/>
        <v>0</v>
      </c>
      <c r="I17" s="293">
        <f t="shared" si="4"/>
        <v>0</v>
      </c>
      <c r="J17" s="293">
        <f t="shared" si="4"/>
        <v>0</v>
      </c>
      <c r="K17" s="293">
        <f t="shared" si="4"/>
        <v>0</v>
      </c>
      <c r="L17" s="293">
        <f t="shared" si="4"/>
        <v>3099000</v>
      </c>
      <c r="M17" s="293">
        <f t="shared" si="4"/>
        <v>0</v>
      </c>
      <c r="N17" s="293">
        <f t="shared" si="4"/>
        <v>0</v>
      </c>
      <c r="O17" s="293">
        <f t="shared" si="4"/>
        <v>0</v>
      </c>
      <c r="P17" s="293">
        <f t="shared" si="4"/>
        <v>0</v>
      </c>
      <c r="Q17" s="293">
        <f t="shared" si="4"/>
        <v>0</v>
      </c>
      <c r="R17" s="293">
        <f t="shared" si="4"/>
        <v>0</v>
      </c>
      <c r="S17" s="293">
        <f t="shared" si="4"/>
        <v>0</v>
      </c>
      <c r="T17" s="293">
        <f t="shared" si="4"/>
        <v>258000</v>
      </c>
      <c r="U17" s="293">
        <f t="shared" si="4"/>
        <v>0</v>
      </c>
      <c r="V17" s="288">
        <f>SUM(B17:U17)</f>
        <v>3830000</v>
      </c>
    </row>
    <row r="18" spans="1:22" ht="21" customHeight="1">
      <c r="A18" s="292">
        <v>551000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88"/>
    </row>
    <row r="19" spans="1:22" ht="21" customHeight="1">
      <c r="A19" s="295">
        <v>510100</v>
      </c>
      <c r="B19" s="296">
        <v>0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88">
        <f>SUM(B19:U19)</f>
        <v>0</v>
      </c>
    </row>
    <row r="20" spans="1:22" ht="21" customHeight="1">
      <c r="A20" s="289" t="s">
        <v>197</v>
      </c>
      <c r="B20" s="290">
        <f t="shared" ref="B20:U20" si="5">SUM(B19)</f>
        <v>0</v>
      </c>
      <c r="C20" s="290">
        <f t="shared" si="5"/>
        <v>0</v>
      </c>
      <c r="D20" s="290">
        <f t="shared" si="5"/>
        <v>0</v>
      </c>
      <c r="E20" s="290">
        <f t="shared" si="5"/>
        <v>0</v>
      </c>
      <c r="F20" s="290">
        <f t="shared" si="5"/>
        <v>0</v>
      </c>
      <c r="G20" s="290">
        <f t="shared" si="5"/>
        <v>0</v>
      </c>
      <c r="H20" s="290">
        <f t="shared" si="5"/>
        <v>0</v>
      </c>
      <c r="I20" s="290">
        <f t="shared" si="5"/>
        <v>0</v>
      </c>
      <c r="J20" s="290">
        <f t="shared" si="5"/>
        <v>0</v>
      </c>
      <c r="K20" s="290">
        <f t="shared" si="5"/>
        <v>0</v>
      </c>
      <c r="L20" s="290">
        <f t="shared" si="5"/>
        <v>0</v>
      </c>
      <c r="M20" s="290">
        <f t="shared" si="5"/>
        <v>0</v>
      </c>
      <c r="N20" s="290">
        <f t="shared" si="5"/>
        <v>0</v>
      </c>
      <c r="O20" s="290">
        <f t="shared" si="5"/>
        <v>0</v>
      </c>
      <c r="P20" s="290">
        <f t="shared" si="5"/>
        <v>0</v>
      </c>
      <c r="Q20" s="290">
        <f t="shared" si="5"/>
        <v>0</v>
      </c>
      <c r="R20" s="290">
        <f t="shared" si="5"/>
        <v>0</v>
      </c>
      <c r="S20" s="290">
        <f t="shared" si="5"/>
        <v>0</v>
      </c>
      <c r="T20" s="290">
        <f t="shared" si="5"/>
        <v>0</v>
      </c>
      <c r="U20" s="290">
        <f t="shared" si="5"/>
        <v>0</v>
      </c>
      <c r="V20" s="288">
        <f>SUM(B20:U20)</f>
        <v>0</v>
      </c>
    </row>
    <row r="21" spans="1:22" ht="21" customHeight="1">
      <c r="A21" s="292">
        <v>561000</v>
      </c>
      <c r="B21" s="290"/>
      <c r="C21" s="303"/>
      <c r="D21" s="294"/>
      <c r="E21" s="293"/>
      <c r="F21" s="293"/>
      <c r="G21" s="294"/>
      <c r="H21" s="294"/>
      <c r="I21" s="293"/>
      <c r="J21" s="290"/>
      <c r="K21" s="293"/>
      <c r="L21" s="293"/>
      <c r="M21" s="288"/>
      <c r="N21" s="288"/>
      <c r="O21" s="293"/>
      <c r="P21" s="293"/>
      <c r="Q21" s="293"/>
      <c r="R21" s="288" t="s">
        <v>295</v>
      </c>
      <c r="S21" s="288" t="s">
        <v>295</v>
      </c>
      <c r="T21" s="288"/>
      <c r="U21" s="293"/>
      <c r="V21" s="288"/>
    </row>
    <row r="22" spans="1:22" ht="21" customHeight="1">
      <c r="A22" s="295">
        <v>610100</v>
      </c>
      <c r="B22" s="296">
        <f>20000-20000</f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88">
        <f t="shared" ref="V22:V27" si="6">SUM(B22:U22)</f>
        <v>0</v>
      </c>
    </row>
    <row r="23" spans="1:22" ht="21" customHeight="1">
      <c r="A23" s="295">
        <v>610200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f>1100000-272000-275000</f>
        <v>553000</v>
      </c>
      <c r="I23" s="296">
        <v>0</v>
      </c>
      <c r="J23" s="296">
        <v>0</v>
      </c>
      <c r="K23" s="296">
        <v>0</v>
      </c>
      <c r="L23" s="296">
        <f>100000+5800-105758.87</f>
        <v>41.130000000004657</v>
      </c>
      <c r="M23" s="296">
        <v>15000</v>
      </c>
      <c r="N23" s="296">
        <v>0</v>
      </c>
      <c r="O23" s="296">
        <v>0</v>
      </c>
      <c r="P23" s="296">
        <f>20000-20000</f>
        <v>0</v>
      </c>
      <c r="Q23" s="296">
        <f>37000-3000-5000-12000</f>
        <v>17000</v>
      </c>
      <c r="R23" s="296">
        <v>0</v>
      </c>
      <c r="S23" s="296">
        <v>0</v>
      </c>
      <c r="T23" s="296">
        <v>0</v>
      </c>
      <c r="U23" s="296">
        <v>0</v>
      </c>
      <c r="V23" s="288">
        <f t="shared" si="6"/>
        <v>585041.13</v>
      </c>
    </row>
    <row r="24" spans="1:22" ht="21" customHeight="1">
      <c r="A24" s="295">
        <v>610300</v>
      </c>
      <c r="B24" s="296">
        <v>0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v>0</v>
      </c>
      <c r="U24" s="296">
        <v>0</v>
      </c>
      <c r="V24" s="288">
        <f t="shared" si="6"/>
        <v>0</v>
      </c>
    </row>
    <row r="25" spans="1:22" ht="21" customHeight="1">
      <c r="A25" s="295">
        <v>610400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f>120000-60000</f>
        <v>60000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 t="shared" si="6"/>
        <v>60000</v>
      </c>
    </row>
    <row r="26" spans="1:22" ht="21" customHeight="1">
      <c r="A26" s="289" t="s">
        <v>197</v>
      </c>
      <c r="B26" s="296">
        <f>SUM(B22:B25)</f>
        <v>0</v>
      </c>
      <c r="C26" s="296">
        <f t="shared" ref="C26:U26" si="7">SUM(C22:C25)</f>
        <v>0</v>
      </c>
      <c r="D26" s="296">
        <f t="shared" si="7"/>
        <v>0</v>
      </c>
      <c r="E26" s="296">
        <f t="shared" si="7"/>
        <v>0</v>
      </c>
      <c r="F26" s="296">
        <f t="shared" si="7"/>
        <v>0</v>
      </c>
      <c r="G26" s="296">
        <f t="shared" si="7"/>
        <v>0</v>
      </c>
      <c r="H26" s="296">
        <f t="shared" si="7"/>
        <v>553000</v>
      </c>
      <c r="I26" s="296">
        <f t="shared" si="7"/>
        <v>60000</v>
      </c>
      <c r="J26" s="296">
        <f t="shared" si="7"/>
        <v>0</v>
      </c>
      <c r="K26" s="296">
        <f t="shared" si="7"/>
        <v>0</v>
      </c>
      <c r="L26" s="296">
        <f t="shared" si="7"/>
        <v>41.130000000004657</v>
      </c>
      <c r="M26" s="296">
        <f t="shared" si="7"/>
        <v>15000</v>
      </c>
      <c r="N26" s="296">
        <f t="shared" si="7"/>
        <v>0</v>
      </c>
      <c r="O26" s="296">
        <f t="shared" si="7"/>
        <v>0</v>
      </c>
      <c r="P26" s="296">
        <f t="shared" si="7"/>
        <v>0</v>
      </c>
      <c r="Q26" s="296">
        <f t="shared" si="7"/>
        <v>17000</v>
      </c>
      <c r="R26" s="296">
        <f t="shared" si="7"/>
        <v>0</v>
      </c>
      <c r="S26" s="296">
        <f t="shared" si="7"/>
        <v>0</v>
      </c>
      <c r="T26" s="296">
        <f t="shared" si="7"/>
        <v>0</v>
      </c>
      <c r="U26" s="296">
        <f t="shared" si="7"/>
        <v>0</v>
      </c>
      <c r="V26" s="288">
        <f t="shared" si="6"/>
        <v>645041.13</v>
      </c>
    </row>
    <row r="27" spans="1:22" s="307" customFormat="1" ht="21" customHeight="1">
      <c r="A27" s="289" t="s">
        <v>206</v>
      </c>
      <c r="B27" s="293">
        <f>'คงเหลือรายรับ (1)'!B12+'คงเหลือรายรับ (1)'!B19+'คงเหลือรายรับ (1)'!B26+'คงเหลือรายรับ (1)'!B32+'คงเหลือรายรับ (2)'!B9+'คงเหลือรายรับ (2)'!B22+'คงเหลือรายรับ (2)'!B28+'คงเหลือรายรับ (3)'!B12+'คงเหลือรายรับ (3)'!B17+'คงเหลือรายรับ (3)'!B20+'คงเหลือรายรับ (3)'!B26</f>
        <v>5187605.9399999995</v>
      </c>
      <c r="C27" s="293">
        <f>'คงเหลือรายรับ (1)'!C12+'คงเหลือรายรับ (1)'!C19+'คงเหลือรายรับ (1)'!C26+'คงเหลือรายรับ (1)'!C32+'คงเหลือรายรับ (2)'!C9+'คงเหลือรายรับ (2)'!C22+'คงเหลือรายรับ (2)'!C28+'คงเหลือรายรับ (3)'!C12+'คงเหลือรายรับ (3)'!C17+'คงเหลือรายรับ (3)'!C20+'คงเหลือรายรับ (3)'!C26</f>
        <v>15000</v>
      </c>
      <c r="D27" s="293">
        <f>'คงเหลือรายรับ (1)'!D12+'คงเหลือรายรับ (1)'!D19+'คงเหลือรายรับ (1)'!D26+'คงเหลือรายรับ (1)'!D32+'คงเหลือรายรับ (2)'!D9+'คงเหลือรายรับ (2)'!D22+'คงเหลือรายรับ (2)'!D28+'คงเหลือรายรับ (3)'!D12+'คงเหลือรายรับ (3)'!D17+'คงเหลือรายรับ (3)'!D20+'คงเหลือรายรับ (3)'!D26</f>
        <v>1028673.95</v>
      </c>
      <c r="E27" s="293">
        <f>'คงเหลือรายรับ (1)'!E12+'คงเหลือรายรับ (1)'!E19+'คงเหลือรายรับ (1)'!E26+'คงเหลือรายรับ (1)'!E32+'คงเหลือรายรับ (2)'!E9+'คงเหลือรายรับ (2)'!E22+'คงเหลือรายรับ (2)'!E28+'คงเหลือรายรับ (3)'!E12+'คงเหลือรายรับ (3)'!E17+'คงเหลือรายรับ (3)'!E20+'คงเหลือรายรับ (3)'!E26</f>
        <v>118000</v>
      </c>
      <c r="F27" s="293">
        <f>'คงเหลือรายรับ (1)'!F12+'คงเหลือรายรับ (1)'!F19+'คงเหลือรายรับ (1)'!F26+'คงเหลือรายรับ (1)'!F32+'คงเหลือรายรับ (2)'!F9+'คงเหลือรายรับ (2)'!F22+'คงเหลือรายรับ (2)'!F28+'คงเหลือรายรับ (3)'!F12+'คงเหลือรายรับ (3)'!F17+'คงเหลือรายรับ (3)'!F20+'คงเหลือรายรับ (3)'!F26</f>
        <v>5000</v>
      </c>
      <c r="G27" s="293">
        <f>'คงเหลือรายรับ (1)'!G12+'คงเหลือรายรับ (1)'!G19+'คงเหลือรายรับ (1)'!G26+'คงเหลือรายรับ (1)'!G32+'คงเหลือรายรับ (2)'!G9+'คงเหลือรายรับ (2)'!G22+'คงเหลือรายรับ (2)'!G28+'คงเหลือรายรับ (3)'!G12+'คงเหลือรายรับ (3)'!G17+'คงเหลือรายรับ (3)'!G20+'คงเหลือรายรับ (3)'!G26</f>
        <v>106515</v>
      </c>
      <c r="H27" s="293">
        <f>'คงเหลือรายรับ (1)'!H12+'คงเหลือรายรับ (1)'!H19+'คงเหลือรายรับ (1)'!H26+'คงเหลือรายรับ (1)'!H32+'คงเหลือรายรับ (2)'!H9+'คงเหลือรายรับ (2)'!H22+'คงเหลือรายรับ (2)'!H28+'คงเหลือรายรับ (3)'!H12+'คงเหลือรายรับ (3)'!H17+'คงเหลือรายรับ (3)'!H20+'คงเหลือรายรับ (3)'!H26</f>
        <v>1892783.08</v>
      </c>
      <c r="I27" s="293">
        <f>'คงเหลือรายรับ (1)'!I12+'คงเหลือรายรับ (1)'!I19+'คงเหลือรายรับ (1)'!I26+'คงเหลือรายรับ (1)'!I32+'คงเหลือรายรับ (2)'!I9+'คงเหลือรายรับ (2)'!I22+'คงเหลือรายรับ (2)'!I28+'คงเหลือรายรับ (3)'!I12+'คงเหลือรายรับ (3)'!I17+'คงเหลือรายรับ (3)'!I20+'คงเหลือรายรับ (3)'!I26</f>
        <v>95000</v>
      </c>
      <c r="J27" s="293">
        <f>'คงเหลือรายรับ (1)'!J12+'คงเหลือรายรับ (1)'!J19+'คงเหลือรายรับ (1)'!J26+'คงเหลือรายรับ (1)'!J32+'คงเหลือรายรับ (2)'!J9+'คงเหลือรายรับ (2)'!J22+'คงเหลือรายรับ (2)'!J28+'คงเหลือรายรับ (3)'!J12+'คงเหลือรายรับ (3)'!J17+'คงเหลือรายรับ (3)'!J20+'คงเหลือรายรับ (3)'!J26</f>
        <v>0</v>
      </c>
      <c r="K27" s="293">
        <f>'คงเหลือรายรับ (1)'!K12+'คงเหลือรายรับ (1)'!K19+'คงเหลือรายรับ (1)'!K26+'คงเหลือรายรับ (1)'!K32+'คงเหลือรายรับ (2)'!K9+'คงเหลือรายรับ (2)'!K22+'คงเหลือรายรับ (2)'!K28+'คงเหลือรายรับ (3)'!K12+'คงเหลือรายรับ (3)'!K17+'คงเหลือรายรับ (3)'!K20+'คงเหลือรายรับ (3)'!K26</f>
        <v>1170126</v>
      </c>
      <c r="L27" s="293">
        <f>'คงเหลือรายรับ (1)'!L12+'คงเหลือรายรับ (1)'!L19+'คงเหลือรายรับ (1)'!L26+'คงเหลือรายรับ (1)'!L32+'คงเหลือรายรับ (2)'!L9+'คงเหลือรายรับ (2)'!L22+'คงเหลือรายรับ (2)'!L28+'คงเหลือรายรับ (3)'!L12+'คงเหลือรายรับ (3)'!L17+'คงเหลือรายรับ (3)'!L20+'คงเหลือรายรับ (3)'!L26</f>
        <v>3358741.13</v>
      </c>
      <c r="M27" s="293">
        <f>'คงเหลือรายรับ (1)'!M12+'คงเหลือรายรับ (1)'!M19+'คงเหลือรายรับ (1)'!M26+'คงเหลือรายรับ (1)'!M32+'คงเหลือรายรับ (2)'!M9+'คงเหลือรายรับ (2)'!M22+'คงเหลือรายรับ (2)'!M28+'คงเหลือรายรับ (3)'!M12+'คงเหลือรายรับ (3)'!M17+'คงเหลือรายรับ (3)'!M20+'คงเหลือรายรับ (3)'!M26</f>
        <v>25000</v>
      </c>
      <c r="N27" s="293">
        <f>'คงเหลือรายรับ (1)'!N12+'คงเหลือรายรับ (1)'!N19+'คงเหลือรายรับ (1)'!N26+'คงเหลือรายรับ (1)'!N32+'คงเหลือรายรับ (2)'!N9+'คงเหลือรายรับ (2)'!N22+'คงเหลือรายรับ (2)'!N28+'คงเหลือรายรับ (3)'!N12+'คงเหลือรายรับ (3)'!N17+'คงเหลือรายรับ (3)'!N20+'คงเหลือรายรับ (3)'!N26</f>
        <v>30000</v>
      </c>
      <c r="O27" s="293">
        <f>'คงเหลือรายรับ (1)'!O12+'คงเหลือรายรับ (1)'!O19+'คงเหลือรายรับ (1)'!O26+'คงเหลือรายรับ (1)'!O32+'คงเหลือรายรับ (2)'!O9+'คงเหลือรายรับ (2)'!O22+'คงเหลือรายรับ (2)'!O28+'คงเหลือรายรับ (3)'!O12+'คงเหลือรายรับ (3)'!O17+'คงเหลือรายรับ (3)'!O20+'คงเหลือรายรับ (3)'!O26</f>
        <v>65000</v>
      </c>
      <c r="P27" s="293">
        <f>'คงเหลือรายรับ (1)'!P12+'คงเหลือรายรับ (1)'!P19+'คงเหลือรายรับ (1)'!P26+'คงเหลือรายรับ (1)'!P32+'คงเหลือรายรับ (2)'!P9+'คงเหลือรายรับ (2)'!P22+'คงเหลือรายรับ (2)'!P28+'คงเหลือรายรับ (3)'!P12+'คงเหลือรายรับ (3)'!P17+'คงเหลือรายรับ (3)'!P20+'คงเหลือรายรับ (3)'!P26</f>
        <v>50000</v>
      </c>
      <c r="Q27" s="293">
        <f>'คงเหลือรายรับ (1)'!Q12+'คงเหลือรายรับ (1)'!Q19+'คงเหลือรายรับ (1)'!Q26+'คงเหลือรายรับ (1)'!Q32+'คงเหลือรายรับ (2)'!Q9+'คงเหลือรายรับ (2)'!Q22+'คงเหลือรายรับ (2)'!Q28+'คงเหลือรายรับ (3)'!Q12+'คงเหลือรายรับ (3)'!Q17+'คงเหลือรายรับ (3)'!Q20+'คงเหลือรายรับ (3)'!Q26</f>
        <v>17000</v>
      </c>
      <c r="R27" s="293">
        <f>'คงเหลือรายรับ (1)'!R12+'คงเหลือรายรับ (1)'!R19+'คงเหลือรายรับ (1)'!R26+'คงเหลือรายรับ (1)'!R32+'คงเหลือรายรับ (2)'!R9+'คงเหลือรายรับ (2)'!R22+'คงเหลือรายรับ (2)'!R28+'คงเหลือรายรับ (3)'!R12+'คงเหลือรายรับ (3)'!R17+'คงเหลือรายรับ (3)'!R20+'คงเหลือรายรับ (3)'!R26</f>
        <v>45000</v>
      </c>
      <c r="S27" s="293">
        <f>'คงเหลือรายรับ (1)'!S12+'คงเหลือรายรับ (1)'!S19+'คงเหลือรายรับ (1)'!S26+'คงเหลือรายรับ (1)'!S32+'คงเหลือรายรับ (2)'!S9+'คงเหลือรายรับ (2)'!S22+'คงเหลือรายรับ (2)'!S28+'คงเหลือรายรับ (3)'!S12+'คงเหลือรายรับ (3)'!S17+'คงเหลือรายรับ (3)'!S20+'คงเหลือรายรับ (3)'!S26</f>
        <v>0</v>
      </c>
      <c r="T27" s="293">
        <f>'คงเหลือรายรับ (1)'!T12+'คงเหลือรายรับ (1)'!T19+'คงเหลือรายรับ (1)'!T26+'คงเหลือรายรับ (1)'!T32+'คงเหลือรายรับ (2)'!T9+'คงเหลือรายรับ (2)'!T22+'คงเหลือรายรับ (2)'!T28+'คงเหลือรายรับ (3)'!T12+'คงเหลือรายรับ (3)'!T17+'คงเหลือรายรับ (3)'!T20+'คงเหลือรายรับ (3)'!T26</f>
        <v>871630.59</v>
      </c>
      <c r="U27" s="293">
        <f>'คงเหลือรายรับ (1)'!U12+'คงเหลือรายรับ (1)'!U19+'คงเหลือรายรับ (1)'!U26+'คงเหลือรายรับ (1)'!U32+'คงเหลือรายรับ (2)'!U9+'คงเหลือรายรับ (2)'!U22+'คงเหลือรายรับ (2)'!U28+'คงเหลือรายรับ (3)'!U12+'คงเหลือรายรับ (3)'!U17+'คงเหลือรายรับ (3)'!U20+'คงเหลือรายรับ (3)'!U26</f>
        <v>728935.71</v>
      </c>
      <c r="V27" s="288">
        <f t="shared" si="6"/>
        <v>14810011.399999999</v>
      </c>
    </row>
    <row r="28" spans="1:22" s="312" customFormat="1" ht="21" customHeight="1">
      <c r="A28" s="308"/>
      <c r="B28" s="309"/>
      <c r="C28" s="310"/>
      <c r="D28" s="310"/>
      <c r="E28" s="310"/>
      <c r="F28" s="310"/>
      <c r="G28" s="310"/>
      <c r="H28" s="310"/>
      <c r="I28" s="310"/>
      <c r="J28" s="309"/>
      <c r="K28" s="309"/>
      <c r="L28" s="310"/>
      <c r="M28" s="310"/>
      <c r="N28" s="310"/>
      <c r="O28" s="310"/>
      <c r="P28" s="310"/>
      <c r="Q28" s="309"/>
      <c r="R28" s="309"/>
      <c r="S28" s="309"/>
      <c r="T28" s="309"/>
      <c r="U28" s="309"/>
      <c r="V28" s="311"/>
    </row>
    <row r="29" spans="1:22" ht="21" customHeight="1">
      <c r="A29" s="313"/>
      <c r="B29" s="310"/>
      <c r="C29" s="310"/>
      <c r="D29" s="383" t="s">
        <v>199</v>
      </c>
      <c r="E29" s="383"/>
      <c r="F29" s="383"/>
      <c r="G29" s="383"/>
      <c r="H29" s="383"/>
      <c r="I29" s="314"/>
      <c r="J29" s="310"/>
      <c r="K29" s="310"/>
      <c r="L29" s="383" t="s">
        <v>200</v>
      </c>
      <c r="M29" s="383"/>
      <c r="N29" s="383"/>
      <c r="O29" s="383"/>
      <c r="P29" s="383"/>
      <c r="Q29" s="383"/>
      <c r="R29" s="310"/>
      <c r="S29" s="310"/>
      <c r="T29" s="310"/>
      <c r="U29" s="310"/>
      <c r="V29" s="310"/>
    </row>
    <row r="30" spans="1:22" ht="21" customHeight="1">
      <c r="A30" s="313"/>
      <c r="B30" s="310"/>
      <c r="C30" s="310"/>
      <c r="D30" s="240"/>
      <c r="E30" s="240"/>
      <c r="F30" s="240"/>
      <c r="G30" s="240"/>
      <c r="H30" s="240"/>
      <c r="I30" s="315"/>
      <c r="J30" s="310"/>
      <c r="K30" s="310"/>
      <c r="L30" s="240"/>
      <c r="M30" s="240"/>
      <c r="N30" s="240"/>
      <c r="O30" s="240"/>
      <c r="P30" s="240"/>
      <c r="Q30" s="240"/>
      <c r="R30" s="310"/>
      <c r="S30" s="310"/>
      <c r="T30" s="310"/>
      <c r="U30" s="310"/>
      <c r="V30" s="310"/>
    </row>
    <row r="31" spans="1:22">
      <c r="A31" s="313"/>
      <c r="B31" s="310"/>
      <c r="C31" s="310"/>
      <c r="D31" s="240"/>
      <c r="E31" s="240"/>
      <c r="F31" s="240"/>
      <c r="G31" s="240"/>
      <c r="H31" s="240"/>
      <c r="I31" s="315"/>
      <c r="J31" s="310"/>
      <c r="K31" s="310"/>
      <c r="L31" s="240"/>
      <c r="M31" s="240"/>
      <c r="N31" s="240"/>
      <c r="O31" s="240"/>
      <c r="P31" s="240"/>
      <c r="Q31" s="213"/>
      <c r="R31" s="310"/>
      <c r="S31" s="310"/>
      <c r="T31" s="310"/>
      <c r="U31" s="310"/>
      <c r="V31" s="310"/>
    </row>
    <row r="32" spans="1:22" ht="21" customHeight="1">
      <c r="A32" s="313"/>
      <c r="B32" s="310"/>
      <c r="C32" s="310"/>
      <c r="D32" s="383" t="s">
        <v>201</v>
      </c>
      <c r="E32" s="383"/>
      <c r="F32" s="383"/>
      <c r="G32" s="383"/>
      <c r="H32" s="383"/>
      <c r="I32" s="314"/>
      <c r="J32" s="310"/>
      <c r="K32" s="310"/>
      <c r="L32" s="383" t="s">
        <v>61</v>
      </c>
      <c r="M32" s="383"/>
      <c r="N32" s="383"/>
      <c r="O32" s="383"/>
      <c r="P32" s="383"/>
      <c r="Q32" s="383"/>
      <c r="R32" s="310"/>
      <c r="S32" s="310"/>
      <c r="T32" s="310"/>
      <c r="U32" s="310"/>
      <c r="V32" s="310"/>
    </row>
    <row r="33" spans="1:22" s="316" customFormat="1" ht="21" customHeight="1">
      <c r="A33" s="300"/>
      <c r="B33" s="310"/>
      <c r="C33" s="310"/>
      <c r="D33" s="383" t="s">
        <v>202</v>
      </c>
      <c r="E33" s="383"/>
      <c r="F33" s="383"/>
      <c r="G33" s="383"/>
      <c r="H33" s="383"/>
      <c r="I33" s="314"/>
      <c r="J33" s="310"/>
      <c r="K33" s="310"/>
      <c r="L33" s="383" t="s">
        <v>84</v>
      </c>
      <c r="M33" s="383"/>
      <c r="N33" s="383"/>
      <c r="O33" s="383"/>
      <c r="P33" s="383"/>
      <c r="Q33" s="383"/>
      <c r="R33" s="310"/>
      <c r="S33" s="310"/>
      <c r="T33" s="310"/>
      <c r="U33" s="310"/>
      <c r="V33" s="310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29:H29"/>
    <mergeCell ref="L29:Q29"/>
    <mergeCell ref="D32:H32"/>
    <mergeCell ref="L32:Q32"/>
    <mergeCell ref="D33:H33"/>
    <mergeCell ref="L33:Q33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topLeftCell="A19" zoomScaleSheetLayoutView="100" workbookViewId="0">
      <selection activeCell="A6" sqref="A6"/>
    </sheetView>
  </sheetViews>
  <sheetFormatPr defaultRowHeight="23.25"/>
  <cols>
    <col min="1" max="1" width="26.125" style="97" customWidth="1"/>
    <col min="2" max="2" width="17" style="97" customWidth="1"/>
    <col min="3" max="3" width="10.5" style="147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49" t="s">
        <v>0</v>
      </c>
      <c r="B1" s="349"/>
      <c r="C1" s="349"/>
      <c r="D1" s="349"/>
      <c r="E1" s="349"/>
      <c r="F1" s="349"/>
      <c r="G1" s="349"/>
    </row>
    <row r="2" spans="1:43">
      <c r="A2" s="349" t="s">
        <v>66</v>
      </c>
      <c r="B2" s="349"/>
      <c r="C2" s="349"/>
      <c r="D2" s="349"/>
      <c r="E2" s="349"/>
      <c r="F2" s="349"/>
      <c r="G2" s="349"/>
    </row>
    <row r="3" spans="1:43">
      <c r="A3" s="342" t="s">
        <v>299</v>
      </c>
      <c r="B3" s="331"/>
      <c r="C3" s="342"/>
      <c r="D3" s="342"/>
      <c r="E3" s="342"/>
      <c r="F3" s="342"/>
      <c r="G3" s="34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50" t="s">
        <v>7</v>
      </c>
      <c r="B4" s="145"/>
      <c r="C4" s="352" t="s">
        <v>67</v>
      </c>
      <c r="D4" s="354" t="s">
        <v>68</v>
      </c>
      <c r="E4" s="354"/>
      <c r="F4" s="350" t="s">
        <v>69</v>
      </c>
      <c r="G4" s="356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51"/>
      <c r="B5" s="146"/>
      <c r="C5" s="353"/>
      <c r="D5" s="355"/>
      <c r="E5" s="355"/>
      <c r="F5" s="351"/>
      <c r="G5" s="35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70</v>
      </c>
      <c r="B6" s="99"/>
      <c r="C6" s="100" t="s">
        <v>195</v>
      </c>
      <c r="D6" s="101">
        <v>42038</v>
      </c>
      <c r="E6" s="102" t="s">
        <v>71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213</v>
      </c>
      <c r="B7" s="106"/>
      <c r="C7" s="20" t="s">
        <v>236</v>
      </c>
      <c r="D7" s="101">
        <v>8861179</v>
      </c>
      <c r="E7" s="148">
        <v>18</v>
      </c>
      <c r="F7" s="107"/>
      <c r="G7" s="108"/>
    </row>
    <row r="8" spans="1:43">
      <c r="A8" s="105" t="s">
        <v>214</v>
      </c>
      <c r="B8" s="106"/>
      <c r="C8" s="20" t="s">
        <v>236</v>
      </c>
      <c r="D8" s="101">
        <v>1024964</v>
      </c>
      <c r="E8" s="102">
        <v>18</v>
      </c>
      <c r="F8" s="107"/>
      <c r="G8" s="108"/>
    </row>
    <row r="9" spans="1:43">
      <c r="A9" s="105" t="s">
        <v>159</v>
      </c>
      <c r="B9" s="106"/>
      <c r="C9" s="20" t="s">
        <v>236</v>
      </c>
      <c r="D9" s="101">
        <v>518512</v>
      </c>
      <c r="E9" s="148">
        <v>13</v>
      </c>
      <c r="F9" s="107"/>
      <c r="G9" s="108"/>
    </row>
    <row r="10" spans="1:43">
      <c r="A10" s="105" t="s">
        <v>240</v>
      </c>
      <c r="B10" s="106"/>
      <c r="C10" s="20" t="s">
        <v>241</v>
      </c>
      <c r="D10" s="101">
        <v>278648</v>
      </c>
      <c r="E10" s="109">
        <v>70</v>
      </c>
      <c r="F10" s="110"/>
      <c r="G10" s="108"/>
    </row>
    <row r="11" spans="1:43">
      <c r="A11" s="105" t="s">
        <v>257</v>
      </c>
      <c r="B11" s="106"/>
      <c r="C11" s="20" t="s">
        <v>258</v>
      </c>
      <c r="D11" s="101">
        <v>7276</v>
      </c>
      <c r="E11" s="109" t="s">
        <v>71</v>
      </c>
      <c r="F11" s="110"/>
      <c r="G11" s="108"/>
    </row>
    <row r="12" spans="1:43">
      <c r="A12" s="105" t="s">
        <v>72</v>
      </c>
      <c r="B12" s="106"/>
      <c r="C12" s="20" t="s">
        <v>237</v>
      </c>
      <c r="D12" s="101">
        <v>26436</v>
      </c>
      <c r="E12" s="102">
        <v>48</v>
      </c>
      <c r="F12" s="107"/>
      <c r="G12" s="108"/>
    </row>
    <row r="13" spans="1:43">
      <c r="A13" s="105" t="s">
        <v>238</v>
      </c>
      <c r="B13" s="106"/>
      <c r="C13" s="20" t="s">
        <v>239</v>
      </c>
      <c r="D13" s="101">
        <v>8472</v>
      </c>
      <c r="E13" s="109" t="s">
        <v>71</v>
      </c>
      <c r="F13" s="107"/>
      <c r="G13" s="108"/>
    </row>
    <row r="14" spans="1:43">
      <c r="A14" s="105" t="s">
        <v>247</v>
      </c>
      <c r="B14" s="106"/>
      <c r="C14" s="20" t="s">
        <v>248</v>
      </c>
      <c r="D14" s="101">
        <v>57648</v>
      </c>
      <c r="E14" s="109" t="s">
        <v>71</v>
      </c>
      <c r="F14" s="110"/>
      <c r="G14" s="108"/>
    </row>
    <row r="15" spans="1:43">
      <c r="A15" s="105" t="s">
        <v>151</v>
      </c>
      <c r="B15" s="106"/>
      <c r="C15" s="20" t="s">
        <v>242</v>
      </c>
      <c r="D15" s="110"/>
      <c r="E15" s="111"/>
      <c r="F15" s="101">
        <v>56521</v>
      </c>
      <c r="G15" s="108">
        <v>77</v>
      </c>
    </row>
    <row r="16" spans="1:43">
      <c r="A16" s="105" t="s">
        <v>73</v>
      </c>
      <c r="B16" s="106"/>
      <c r="C16" s="20" t="s">
        <v>243</v>
      </c>
      <c r="D16" s="112"/>
      <c r="E16" s="108"/>
      <c r="F16" s="101">
        <v>1795656</v>
      </c>
      <c r="G16" s="114">
        <v>34</v>
      </c>
    </row>
    <row r="17" spans="1:7">
      <c r="A17" s="105" t="s">
        <v>30</v>
      </c>
      <c r="B17" s="106"/>
      <c r="C17" s="20" t="s">
        <v>218</v>
      </c>
      <c r="D17" s="110"/>
      <c r="E17" s="111"/>
      <c r="F17" s="101">
        <v>1590710</v>
      </c>
      <c r="G17" s="114">
        <v>38</v>
      </c>
    </row>
    <row r="18" spans="1:7">
      <c r="A18" s="105" t="s">
        <v>74</v>
      </c>
      <c r="B18" s="106"/>
      <c r="C18" s="20" t="s">
        <v>75</v>
      </c>
      <c r="D18" s="110"/>
      <c r="E18" s="109"/>
      <c r="F18" s="101">
        <v>4662456</v>
      </c>
      <c r="G18" s="108">
        <v>53</v>
      </c>
    </row>
    <row r="19" spans="1:7">
      <c r="A19" s="105" t="s">
        <v>76</v>
      </c>
      <c r="B19" s="106"/>
      <c r="C19" s="20" t="s">
        <v>77</v>
      </c>
      <c r="D19" s="110"/>
      <c r="E19" s="108"/>
      <c r="F19" s="101">
        <v>15535218</v>
      </c>
      <c r="G19" s="114">
        <v>25</v>
      </c>
    </row>
    <row r="20" spans="1:7">
      <c r="A20" s="105" t="s">
        <v>34</v>
      </c>
      <c r="B20" s="106"/>
      <c r="C20" s="20" t="s">
        <v>244</v>
      </c>
      <c r="D20" s="113">
        <v>4509364</v>
      </c>
      <c r="E20" s="114">
        <v>29</v>
      </c>
      <c r="F20" s="110"/>
      <c r="G20" s="114"/>
    </row>
    <row r="21" spans="1:7">
      <c r="A21" s="105" t="s">
        <v>36</v>
      </c>
      <c r="B21" s="106"/>
      <c r="C21" s="20" t="s">
        <v>37</v>
      </c>
      <c r="D21" s="113">
        <v>1093600</v>
      </c>
      <c r="E21" s="114" t="s">
        <v>71</v>
      </c>
      <c r="F21" s="110"/>
      <c r="G21" s="114"/>
    </row>
    <row r="22" spans="1:7">
      <c r="A22" s="105" t="s">
        <v>38</v>
      </c>
      <c r="B22" s="106"/>
      <c r="C22" s="20" t="s">
        <v>39</v>
      </c>
      <c r="D22" s="113">
        <v>3440542</v>
      </c>
      <c r="E22" s="114">
        <v>74</v>
      </c>
      <c r="F22" s="110"/>
      <c r="G22" s="114"/>
    </row>
    <row r="23" spans="1:7">
      <c r="A23" s="105" t="s">
        <v>40</v>
      </c>
      <c r="B23" s="106"/>
      <c r="C23" s="20" t="s">
        <v>41</v>
      </c>
      <c r="D23" s="113">
        <v>109744</v>
      </c>
      <c r="E23" s="114" t="s">
        <v>71</v>
      </c>
      <c r="F23" s="110"/>
      <c r="G23" s="108"/>
    </row>
    <row r="24" spans="1:7">
      <c r="A24" s="105" t="s">
        <v>42</v>
      </c>
      <c r="B24" s="106"/>
      <c r="C24" s="20" t="s">
        <v>43</v>
      </c>
      <c r="D24" s="113">
        <v>903130</v>
      </c>
      <c r="E24" s="114" t="s">
        <v>71</v>
      </c>
      <c r="F24" s="110"/>
      <c r="G24" s="108"/>
    </row>
    <row r="25" spans="1:7">
      <c r="A25" s="105" t="s">
        <v>44</v>
      </c>
      <c r="B25" s="106"/>
      <c r="C25" s="20" t="s">
        <v>45</v>
      </c>
      <c r="D25" s="113">
        <v>444864</v>
      </c>
      <c r="E25" s="114">
        <v>97</v>
      </c>
      <c r="F25" s="110"/>
      <c r="G25" s="108"/>
    </row>
    <row r="26" spans="1:7">
      <c r="A26" s="105" t="s">
        <v>46</v>
      </c>
      <c r="B26" s="106"/>
      <c r="C26" s="20" t="s">
        <v>47</v>
      </c>
      <c r="D26" s="113">
        <v>224383</v>
      </c>
      <c r="E26" s="114">
        <v>73</v>
      </c>
      <c r="F26" s="110"/>
      <c r="G26" s="108"/>
    </row>
    <row r="27" spans="1:7">
      <c r="A27" s="105" t="s">
        <v>48</v>
      </c>
      <c r="B27" s="106"/>
      <c r="C27" s="20" t="s">
        <v>78</v>
      </c>
      <c r="D27" s="113">
        <v>124200</v>
      </c>
      <c r="E27" s="108" t="s">
        <v>71</v>
      </c>
      <c r="F27" s="110"/>
      <c r="G27" s="108"/>
    </row>
    <row r="28" spans="1:7">
      <c r="A28" s="105" t="s">
        <v>49</v>
      </c>
      <c r="B28" s="106"/>
      <c r="C28" s="20" t="s">
        <v>50</v>
      </c>
      <c r="D28" s="113">
        <v>1192800</v>
      </c>
      <c r="E28" s="108" t="s">
        <v>71</v>
      </c>
      <c r="F28" s="110"/>
      <c r="G28" s="108"/>
    </row>
    <row r="29" spans="1:7">
      <c r="A29" s="105" t="s">
        <v>79</v>
      </c>
      <c r="B29" s="106"/>
      <c r="C29" s="20" t="s">
        <v>245</v>
      </c>
      <c r="D29" s="113">
        <v>0</v>
      </c>
      <c r="E29" s="108" t="s">
        <v>71</v>
      </c>
      <c r="F29" s="113"/>
      <c r="G29" s="108"/>
    </row>
    <row r="30" spans="1:7">
      <c r="A30" s="141" t="s">
        <v>53</v>
      </c>
      <c r="B30" s="142"/>
      <c r="C30" s="127" t="s">
        <v>246</v>
      </c>
      <c r="D30" s="113">
        <v>772758</v>
      </c>
      <c r="E30" s="115">
        <v>87</v>
      </c>
      <c r="F30" s="110"/>
      <c r="G30" s="115"/>
    </row>
    <row r="31" spans="1:7" ht="24" thickBot="1">
      <c r="C31" s="116"/>
      <c r="D31" s="117">
        <f>INT(SUM(D6:D30)+SUM(E6:E30)/100)</f>
        <v>23640563</v>
      </c>
      <c r="E31" s="118">
        <f>MOD(SUM(E6:E30),100)</f>
        <v>27</v>
      </c>
      <c r="F31" s="117">
        <f>INT(SUM(F6:F30)+SUM(G6:G30)/100)</f>
        <v>23640563</v>
      </c>
      <c r="G31" s="119">
        <f>MOD(SUM(G6:G30),100)</f>
        <v>27</v>
      </c>
    </row>
    <row r="32" spans="1:7" ht="24" thickTop="1">
      <c r="C32" s="116"/>
      <c r="D32" s="120"/>
      <c r="E32" s="121"/>
      <c r="F32" s="120"/>
      <c r="G32" s="121"/>
    </row>
    <row r="33" spans="1:8">
      <c r="A33" s="147" t="s">
        <v>208</v>
      </c>
      <c r="B33" s="348" t="s">
        <v>80</v>
      </c>
      <c r="C33" s="348"/>
      <c r="D33" s="348" t="s">
        <v>81</v>
      </c>
      <c r="E33" s="348"/>
      <c r="F33" s="348"/>
      <c r="G33" s="348"/>
      <c r="H33" s="122"/>
    </row>
    <row r="34" spans="1:8">
      <c r="A34" s="147" t="s">
        <v>61</v>
      </c>
      <c r="B34" s="348" t="s">
        <v>62</v>
      </c>
      <c r="C34" s="348"/>
      <c r="D34" s="348" t="s">
        <v>63</v>
      </c>
      <c r="E34" s="348"/>
      <c r="F34" s="348"/>
      <c r="G34" s="348"/>
      <c r="H34" s="122"/>
    </row>
    <row r="35" spans="1:8">
      <c r="A35" s="147" t="s">
        <v>84</v>
      </c>
      <c r="B35" s="348" t="s">
        <v>64</v>
      </c>
      <c r="C35" s="348"/>
      <c r="D35" s="348" t="s">
        <v>65</v>
      </c>
      <c r="E35" s="348"/>
      <c r="F35" s="348"/>
      <c r="G35" s="348"/>
      <c r="H35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3:C33"/>
    <mergeCell ref="D33:G33"/>
    <mergeCell ref="B34:C34"/>
    <mergeCell ref="D34:G34"/>
    <mergeCell ref="B35:C35"/>
    <mergeCell ref="D35:G35"/>
  </mergeCells>
  <pageMargins left="0.31496062992125984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workbookViewId="0">
      <selection activeCell="F55" sqref="F55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59" t="s">
        <v>153</v>
      </c>
      <c r="F1" s="359"/>
    </row>
    <row r="2" spans="1:11" ht="23.25">
      <c r="A2" s="360" t="s">
        <v>0</v>
      </c>
      <c r="B2" s="360"/>
      <c r="C2" s="360"/>
      <c r="D2" s="360"/>
      <c r="E2" s="360"/>
      <c r="F2" s="360"/>
      <c r="G2" s="46"/>
      <c r="H2" s="46"/>
      <c r="I2" s="46"/>
      <c r="J2" s="47"/>
      <c r="K2" s="47"/>
    </row>
    <row r="3" spans="1:11" ht="23.25">
      <c r="A3" s="360" t="s">
        <v>127</v>
      </c>
      <c r="B3" s="360"/>
      <c r="C3" s="360"/>
      <c r="D3" s="360"/>
      <c r="E3" s="360"/>
      <c r="F3" s="360"/>
      <c r="G3" s="46"/>
      <c r="H3" s="46"/>
      <c r="I3" s="46"/>
    </row>
    <row r="4" spans="1:11" ht="23.25">
      <c r="A4" s="360" t="s">
        <v>297</v>
      </c>
      <c r="B4" s="360"/>
      <c r="C4" s="360"/>
      <c r="D4" s="360"/>
      <c r="E4" s="360"/>
      <c r="F4" s="360"/>
      <c r="G4" s="46"/>
      <c r="H4" s="46"/>
      <c r="I4" s="46"/>
    </row>
    <row r="5" spans="1:11" ht="23.25">
      <c r="A5" s="361" t="s">
        <v>85</v>
      </c>
      <c r="B5" s="363" t="s">
        <v>7</v>
      </c>
      <c r="C5" s="363" t="s">
        <v>67</v>
      </c>
      <c r="D5" s="363" t="s">
        <v>5</v>
      </c>
      <c r="E5" s="365" t="s">
        <v>128</v>
      </c>
      <c r="F5" s="366"/>
      <c r="G5" s="46"/>
      <c r="H5" s="46"/>
      <c r="I5" s="46"/>
    </row>
    <row r="6" spans="1:11">
      <c r="A6" s="362"/>
      <c r="B6" s="364"/>
      <c r="C6" s="364"/>
      <c r="D6" s="364"/>
      <c r="E6" s="88" t="s">
        <v>4</v>
      </c>
      <c r="F6" s="49" t="s">
        <v>86</v>
      </c>
      <c r="G6" s="47"/>
      <c r="H6" s="47"/>
      <c r="I6" s="47"/>
      <c r="J6" s="47"/>
      <c r="K6" s="47"/>
    </row>
    <row r="7" spans="1:11">
      <c r="A7" s="90" t="s">
        <v>129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130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87</v>
      </c>
      <c r="C9" s="53">
        <v>411001</v>
      </c>
      <c r="D9" s="55">
        <v>55000</v>
      </c>
      <c r="E9" s="55">
        <v>43529.45</v>
      </c>
      <c r="F9" s="56">
        <f>57+43529.45</f>
        <v>43586.45</v>
      </c>
      <c r="G9" s="57"/>
      <c r="H9" s="58"/>
      <c r="I9" s="57"/>
      <c r="J9" s="57"/>
      <c r="K9" s="57"/>
    </row>
    <row r="10" spans="1:11">
      <c r="A10" s="53">
        <v>2</v>
      </c>
      <c r="B10" s="54" t="s">
        <v>88</v>
      </c>
      <c r="C10" s="53">
        <v>411002</v>
      </c>
      <c r="D10" s="55">
        <v>68000</v>
      </c>
      <c r="E10" s="55">
        <v>9913.2099999999991</v>
      </c>
      <c r="F10" s="56">
        <f>109.73+24.33+493.65+5262.55+9913.21</f>
        <v>15803.47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89</v>
      </c>
      <c r="C11" s="53">
        <v>411003</v>
      </c>
      <c r="D11" s="55">
        <v>1000</v>
      </c>
      <c r="E11" s="55">
        <v>0</v>
      </c>
      <c r="F11" s="56">
        <v>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124000</v>
      </c>
      <c r="E12" s="49">
        <f>SUM(E9:E11)</f>
        <v>53442.659999999996</v>
      </c>
      <c r="F12" s="60">
        <f>SUM(F9:F11)</f>
        <v>59389.919999999998</v>
      </c>
      <c r="G12" s="47"/>
      <c r="H12" s="61"/>
      <c r="I12" s="47"/>
      <c r="J12" s="47"/>
      <c r="K12" s="47"/>
    </row>
    <row r="13" spans="1:11">
      <c r="A13" s="62" t="s">
        <v>131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90</v>
      </c>
      <c r="C14" s="53">
        <v>412103</v>
      </c>
      <c r="D14" s="55">
        <v>1000</v>
      </c>
      <c r="E14" s="65">
        <v>0</v>
      </c>
      <c r="F14" s="56">
        <v>135.80000000000001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91</v>
      </c>
      <c r="C15" s="53">
        <v>412104</v>
      </c>
      <c r="D15" s="55">
        <v>500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92</v>
      </c>
      <c r="C16" s="53">
        <v>412106</v>
      </c>
      <c r="D16" s="55">
        <v>1000</v>
      </c>
      <c r="E16" s="65">
        <v>154</v>
      </c>
      <c r="F16" s="56">
        <f>124+41+26+154</f>
        <v>345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93</v>
      </c>
      <c r="C17" s="53">
        <v>412128</v>
      </c>
      <c r="D17" s="55">
        <v>200</v>
      </c>
      <c r="E17" s="55">
        <v>50</v>
      </c>
      <c r="F17" s="56">
        <v>50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94</v>
      </c>
      <c r="C18" s="53">
        <v>412199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95</v>
      </c>
      <c r="C19" s="53"/>
      <c r="D19" s="55">
        <v>35000</v>
      </c>
      <c r="E19" s="55">
        <v>4180</v>
      </c>
      <c r="F19" s="56">
        <f>1140+1140+1520+4180</f>
        <v>7980</v>
      </c>
      <c r="G19" s="57"/>
      <c r="H19" s="58"/>
      <c r="I19" s="57"/>
      <c r="J19" s="57"/>
      <c r="K19" s="57"/>
    </row>
    <row r="20" spans="1:11">
      <c r="A20" s="53"/>
      <c r="B20" s="54" t="s">
        <v>96</v>
      </c>
      <c r="C20" s="53"/>
      <c r="D20" s="55">
        <v>36000</v>
      </c>
      <c r="E20" s="55">
        <v>7245</v>
      </c>
      <c r="F20" s="56">
        <f>4415+3810+5000+1150+7245</f>
        <v>21620</v>
      </c>
      <c r="G20" s="57"/>
      <c r="H20" s="58"/>
      <c r="I20" s="57"/>
      <c r="J20" s="57"/>
      <c r="K20" s="57"/>
    </row>
    <row r="21" spans="1:11">
      <c r="A21" s="53"/>
      <c r="B21" s="54" t="s">
        <v>97</v>
      </c>
      <c r="C21" s="53"/>
      <c r="D21" s="55">
        <v>500</v>
      </c>
      <c r="E21" s="55">
        <v>10</v>
      </c>
      <c r="F21" s="56">
        <f>10+20+1510+10</f>
        <v>1550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98</v>
      </c>
      <c r="C22" s="53">
        <v>412202</v>
      </c>
      <c r="D22" s="55">
        <v>1000</v>
      </c>
      <c r="E22" s="55">
        <v>200</v>
      </c>
      <c r="F22" s="56">
        <v>200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99</v>
      </c>
      <c r="C23" s="53">
        <v>412210</v>
      </c>
      <c r="D23" s="55">
        <v>2000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100</v>
      </c>
      <c r="C24" s="53">
        <v>412211</v>
      </c>
      <c r="D24" s="55">
        <v>500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101</v>
      </c>
      <c r="C25" s="53">
        <v>412299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155</v>
      </c>
      <c r="C26" s="75">
        <v>412307</v>
      </c>
      <c r="D26" s="66">
        <v>500</v>
      </c>
      <c r="E26" s="66">
        <v>20</v>
      </c>
      <c r="F26" s="67">
        <f>20+20+20+20</f>
        <v>80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102</v>
      </c>
      <c r="C27" s="75">
        <v>412308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256</v>
      </c>
      <c r="C28" s="75"/>
      <c r="D28" s="66">
        <v>500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79500</v>
      </c>
      <c r="E29" s="49">
        <f>SUM(E14:E28)</f>
        <v>11859</v>
      </c>
      <c r="F29" s="60">
        <f>SUM(F14:F28)</f>
        <v>31960.799999999999</v>
      </c>
      <c r="G29" s="47"/>
      <c r="H29" s="61"/>
      <c r="I29" s="47"/>
      <c r="J29" s="47"/>
      <c r="K29" s="47"/>
    </row>
    <row r="30" spans="1:11">
      <c r="A30" s="62" t="s">
        <v>132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103</v>
      </c>
      <c r="C31" s="53">
        <v>413003</v>
      </c>
      <c r="D31" s="68">
        <v>40000</v>
      </c>
      <c r="E31" s="68">
        <v>0</v>
      </c>
      <c r="F31" s="67">
        <v>9939.73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40000</v>
      </c>
      <c r="E32" s="49">
        <f>SUM(E31)</f>
        <v>0</v>
      </c>
      <c r="F32" s="60">
        <f>SUM(F31)</f>
        <v>9939.73</v>
      </c>
      <c r="G32" s="47"/>
      <c r="H32" s="61"/>
      <c r="I32" s="47"/>
      <c r="J32" s="47"/>
      <c r="K32" s="47"/>
    </row>
    <row r="33" spans="1:11">
      <c r="A33" s="62" t="s">
        <v>133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104</v>
      </c>
      <c r="C34" s="53">
        <v>414006</v>
      </c>
      <c r="D34" s="68">
        <v>550000</v>
      </c>
      <c r="E34" s="68">
        <v>72277</v>
      </c>
      <c r="F34" s="67">
        <f>41964+45840+48032+15808+72277</f>
        <v>223921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72277</v>
      </c>
      <c r="F35" s="60">
        <f>SUM(F34)</f>
        <v>223921</v>
      </c>
      <c r="G35" s="47"/>
      <c r="H35" s="61"/>
      <c r="I35" s="47"/>
      <c r="J35" s="47"/>
      <c r="K35" s="47"/>
    </row>
    <row r="36" spans="1:11">
      <c r="A36" s="71" t="s">
        <v>134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105</v>
      </c>
      <c r="C37" s="75">
        <v>415004</v>
      </c>
      <c r="D37" s="68">
        <v>200000</v>
      </c>
      <c r="E37" s="68">
        <v>0</v>
      </c>
      <c r="F37" s="67">
        <v>56000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106</v>
      </c>
      <c r="C38" s="53">
        <v>415999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205000</v>
      </c>
      <c r="E39" s="49">
        <f>SUM(E37:E38)</f>
        <v>0</v>
      </c>
      <c r="F39" s="60">
        <f>SUM(F37:F38)</f>
        <v>56000</v>
      </c>
      <c r="G39" s="47"/>
      <c r="H39" s="61"/>
      <c r="I39" s="47"/>
      <c r="J39" s="47"/>
      <c r="K39" s="47"/>
    </row>
    <row r="40" spans="1:11">
      <c r="A40" s="358" t="s">
        <v>32</v>
      </c>
      <c r="B40" s="358"/>
      <c r="C40" s="358"/>
      <c r="D40" s="358"/>
      <c r="E40" s="358"/>
      <c r="F40" s="358"/>
      <c r="G40" s="47"/>
      <c r="H40" s="61"/>
      <c r="I40" s="47"/>
      <c r="J40" s="47"/>
      <c r="K40" s="47"/>
    </row>
    <row r="41" spans="1:11">
      <c r="A41" s="80" t="s">
        <v>135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107</v>
      </c>
      <c r="C42" s="53">
        <v>416001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5" t="s">
        <v>136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137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138</v>
      </c>
      <c r="C46" s="53">
        <v>421001</v>
      </c>
      <c r="D46" s="55">
        <v>520000</v>
      </c>
      <c r="E46" s="55">
        <v>0</v>
      </c>
      <c r="F46" s="56">
        <f>170651.47</f>
        <v>170651.47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108</v>
      </c>
      <c r="C47" s="53">
        <v>421002</v>
      </c>
      <c r="D47" s="55">
        <v>7500000</v>
      </c>
      <c r="E47" s="55">
        <v>0</v>
      </c>
      <c r="F47" s="56">
        <f>611551.5+614107.77+622525.69+599581.57</f>
        <v>2447766.5299999998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139</v>
      </c>
      <c r="C48" s="53">
        <v>421004</v>
      </c>
      <c r="D48" s="55">
        <v>2500000</v>
      </c>
      <c r="E48" s="55">
        <v>168568.01</v>
      </c>
      <c r="F48" s="56">
        <f>331315.92+173448.29+173093.03+168568.01</f>
        <v>846425.25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109</v>
      </c>
      <c r="C49" s="53">
        <v>421005</v>
      </c>
      <c r="D49" s="55">
        <v>100000</v>
      </c>
      <c r="E49" s="55">
        <v>0</v>
      </c>
      <c r="F49" s="56">
        <f>18360.32</f>
        <v>18360.32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110</v>
      </c>
      <c r="C50" s="53">
        <v>421006</v>
      </c>
      <c r="D50" s="55">
        <v>1000000</v>
      </c>
      <c r="E50" s="55">
        <v>94226.86</v>
      </c>
      <c r="F50" s="56">
        <f>155748.73+86661.44+105669.89+94226.86</f>
        <v>442306.92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111</v>
      </c>
      <c r="C51" s="53">
        <v>421007</v>
      </c>
      <c r="D51" s="55">
        <v>1600000</v>
      </c>
      <c r="E51" s="55">
        <v>226751.26</v>
      </c>
      <c r="F51" s="56">
        <f>331973.25+163067.11+193649.68+226751.26</f>
        <v>915441.3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112</v>
      </c>
      <c r="C52" s="75">
        <v>421012</v>
      </c>
      <c r="D52" s="66">
        <v>100000</v>
      </c>
      <c r="E52" s="66">
        <v>19588.55</v>
      </c>
      <c r="F52" s="67">
        <v>19588.55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113</v>
      </c>
      <c r="C53" s="75">
        <v>421013</v>
      </c>
      <c r="D53" s="66">
        <v>80000</v>
      </c>
      <c r="E53" s="66">
        <v>10532.78</v>
      </c>
      <c r="F53" s="67">
        <f>11035.68+10532.78</f>
        <v>21568.46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140</v>
      </c>
      <c r="C54" s="75">
        <v>421015</v>
      </c>
      <c r="D54" s="66">
        <v>450000</v>
      </c>
      <c r="E54" s="66">
        <v>28766</v>
      </c>
      <c r="F54" s="67">
        <f>82669+56087+17304+28766</f>
        <v>184826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114</v>
      </c>
      <c r="C55" s="75">
        <v>421999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13850500</v>
      </c>
      <c r="E56" s="49">
        <f>SUM(E46:E55)</f>
        <v>548433.46</v>
      </c>
      <c r="F56" s="60">
        <f>SUM(F46:F55)</f>
        <v>5066934.8</v>
      </c>
      <c r="G56" s="47"/>
      <c r="H56" s="58"/>
      <c r="I56" s="47"/>
      <c r="J56" s="47"/>
      <c r="K56" s="47"/>
    </row>
    <row r="57" spans="1:11">
      <c r="A57" s="62" t="s">
        <v>26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115</v>
      </c>
      <c r="C58" s="75"/>
      <c r="D58" s="66">
        <v>7350000</v>
      </c>
      <c r="E58" s="66">
        <v>0</v>
      </c>
      <c r="F58" s="67">
        <f>2202181+2271016</f>
        <v>4473197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7350000</v>
      </c>
      <c r="E59" s="79">
        <f>SUM(E58)</f>
        <v>0</v>
      </c>
      <c r="F59" s="60">
        <f>SUM(F58)</f>
        <v>4473197</v>
      </c>
      <c r="G59" s="57"/>
      <c r="H59" s="61"/>
      <c r="I59" s="57"/>
      <c r="J59" s="57"/>
      <c r="K59" s="57"/>
    </row>
    <row r="60" spans="1:11">
      <c r="A60" s="71" t="s">
        <v>116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>
        <v>1</v>
      </c>
      <c r="B61" s="54" t="s">
        <v>117</v>
      </c>
      <c r="C61" s="75">
        <v>441002</v>
      </c>
      <c r="D61" s="66">
        <v>0</v>
      </c>
      <c r="E61" s="66">
        <v>0</v>
      </c>
      <c r="F61" s="56">
        <v>39000</v>
      </c>
      <c r="G61" s="47"/>
      <c r="H61" s="61"/>
      <c r="I61" s="47"/>
      <c r="J61" s="47"/>
      <c r="K61" s="47"/>
    </row>
    <row r="62" spans="1:11">
      <c r="A62" s="53">
        <v>2</v>
      </c>
      <c r="B62" s="54" t="s">
        <v>143</v>
      </c>
      <c r="C62" s="75">
        <v>441002</v>
      </c>
      <c r="D62" s="66">
        <v>0</v>
      </c>
      <c r="E62" s="66">
        <v>0</v>
      </c>
      <c r="F62" s="56">
        <f>2064300+1376200</f>
        <v>3440500</v>
      </c>
      <c r="G62" s="47"/>
      <c r="H62" s="61"/>
      <c r="I62" s="47"/>
      <c r="J62" s="47"/>
      <c r="K62" s="47"/>
    </row>
    <row r="63" spans="1:11">
      <c r="A63" s="53">
        <v>3</v>
      </c>
      <c r="B63" s="54" t="s">
        <v>146</v>
      </c>
      <c r="C63" s="75">
        <v>441002</v>
      </c>
      <c r="D63" s="66">
        <v>0</v>
      </c>
      <c r="E63" s="66">
        <v>0</v>
      </c>
      <c r="F63" s="56">
        <f>360000+360000</f>
        <v>720000</v>
      </c>
      <c r="G63" s="47"/>
      <c r="H63" s="61"/>
      <c r="I63" s="47"/>
      <c r="J63" s="47"/>
      <c r="K63" s="47"/>
    </row>
    <row r="64" spans="1:11">
      <c r="A64" s="53">
        <v>4</v>
      </c>
      <c r="B64" s="54" t="s">
        <v>215</v>
      </c>
      <c r="C64" s="75">
        <v>441002</v>
      </c>
      <c r="D64" s="66">
        <v>0</v>
      </c>
      <c r="E64" s="66">
        <v>0</v>
      </c>
      <c r="F64" s="56">
        <f>273960+192540</f>
        <v>466500</v>
      </c>
      <c r="G64" s="47"/>
      <c r="H64" s="61"/>
      <c r="I64" s="47"/>
      <c r="J64" s="47"/>
      <c r="K64" s="47"/>
    </row>
    <row r="65" spans="1:11">
      <c r="A65" s="53">
        <v>5</v>
      </c>
      <c r="B65" s="54" t="s">
        <v>216</v>
      </c>
      <c r="C65" s="75">
        <v>441002</v>
      </c>
      <c r="D65" s="66">
        <v>0</v>
      </c>
      <c r="E65" s="66">
        <v>0</v>
      </c>
      <c r="F65" s="56">
        <f>225500+114000</f>
        <v>339500</v>
      </c>
      <c r="G65" s="47"/>
      <c r="H65" s="61"/>
      <c r="I65" s="47"/>
      <c r="J65" s="47"/>
      <c r="K65" s="47"/>
    </row>
    <row r="66" spans="1:11">
      <c r="A66" s="53">
        <v>6</v>
      </c>
      <c r="B66" s="54" t="s">
        <v>217</v>
      </c>
      <c r="C66" s="75">
        <v>441002</v>
      </c>
      <c r="D66" s="66">
        <v>0</v>
      </c>
      <c r="E66" s="66">
        <v>0</v>
      </c>
      <c r="F66" s="56">
        <f>11275+5700</f>
        <v>16975</v>
      </c>
      <c r="G66" s="47"/>
      <c r="H66" s="61"/>
      <c r="I66" s="47"/>
      <c r="J66" s="47"/>
      <c r="K66" s="47"/>
    </row>
    <row r="67" spans="1:11">
      <c r="A67" s="53">
        <v>7</v>
      </c>
      <c r="B67" s="54" t="s">
        <v>234</v>
      </c>
      <c r="C67" s="75">
        <v>441002</v>
      </c>
      <c r="D67" s="66">
        <v>0</v>
      </c>
      <c r="E67" s="66">
        <v>0</v>
      </c>
      <c r="F67" s="56">
        <v>0</v>
      </c>
      <c r="G67" s="47"/>
      <c r="H67" s="61"/>
      <c r="I67" s="47"/>
      <c r="J67" s="47"/>
      <c r="K67" s="47"/>
    </row>
    <row r="68" spans="1:11">
      <c r="A68" s="53">
        <v>8</v>
      </c>
      <c r="B68" s="54" t="s">
        <v>235</v>
      </c>
      <c r="C68" s="75">
        <v>441002</v>
      </c>
      <c r="D68" s="66"/>
      <c r="E68" s="66">
        <v>0</v>
      </c>
      <c r="F68" s="56">
        <v>0</v>
      </c>
      <c r="G68" s="47"/>
      <c r="H68" s="61"/>
      <c r="I68" s="47"/>
      <c r="J68" s="47"/>
      <c r="K68" s="47"/>
    </row>
    <row r="69" spans="1:11">
      <c r="A69" s="53">
        <v>9</v>
      </c>
      <c r="B69" s="54" t="s">
        <v>211</v>
      </c>
      <c r="C69" s="75">
        <v>441002</v>
      </c>
      <c r="D69" s="66"/>
      <c r="E69" s="66">
        <v>0</v>
      </c>
      <c r="F69" s="56">
        <v>0</v>
      </c>
      <c r="G69" s="47"/>
      <c r="H69" s="61"/>
      <c r="I69" s="47"/>
      <c r="J69" s="47"/>
      <c r="K69" s="47"/>
    </row>
    <row r="70" spans="1:11">
      <c r="A70" s="53">
        <v>10</v>
      </c>
      <c r="B70" s="54" t="s">
        <v>149</v>
      </c>
      <c r="C70" s="75">
        <v>441002</v>
      </c>
      <c r="D70" s="66">
        <v>0</v>
      </c>
      <c r="E70" s="66">
        <v>0</v>
      </c>
      <c r="F70" s="56">
        <v>96600</v>
      </c>
      <c r="G70" s="47"/>
      <c r="H70" s="61"/>
      <c r="I70" s="47"/>
      <c r="J70" s="47"/>
      <c r="K70" s="47"/>
    </row>
    <row r="71" spans="1:11">
      <c r="A71" s="53">
        <v>11</v>
      </c>
      <c r="B71" s="54" t="s">
        <v>262</v>
      </c>
      <c r="C71" s="75">
        <v>441002</v>
      </c>
      <c r="D71" s="66">
        <v>0</v>
      </c>
      <c r="E71" s="66">
        <v>0</v>
      </c>
      <c r="F71" s="56">
        <v>494800</v>
      </c>
      <c r="G71" s="47"/>
      <c r="H71" s="61"/>
      <c r="I71" s="47"/>
      <c r="J71" s="47"/>
      <c r="K71" s="47"/>
    </row>
    <row r="72" spans="1:11">
      <c r="A72" s="53">
        <v>12</v>
      </c>
      <c r="B72" s="54" t="s">
        <v>233</v>
      </c>
      <c r="C72" s="75">
        <v>441002</v>
      </c>
      <c r="D72" s="66">
        <v>0</v>
      </c>
      <c r="E72" s="66">
        <v>0</v>
      </c>
      <c r="F72" s="56">
        <v>0</v>
      </c>
      <c r="G72" s="47"/>
      <c r="H72" s="61"/>
      <c r="I72" s="47"/>
      <c r="J72" s="47"/>
      <c r="K72" s="47"/>
    </row>
    <row r="73" spans="1:11" ht="18.75" customHeight="1">
      <c r="A73" s="54"/>
      <c r="B73" s="59" t="s">
        <v>144</v>
      </c>
      <c r="C73" s="59"/>
      <c r="D73" s="81">
        <f>SUM(D61:D72)</f>
        <v>0</v>
      </c>
      <c r="E73" s="81">
        <f t="shared" ref="E73:F73" si="0">SUM(E61:E72)</f>
        <v>0</v>
      </c>
      <c r="F73" s="81">
        <f t="shared" si="0"/>
        <v>5613875</v>
      </c>
      <c r="G73" s="47"/>
      <c r="H73" s="61"/>
      <c r="I73" s="47"/>
      <c r="J73" s="47"/>
      <c r="K73" s="47"/>
    </row>
    <row r="74" spans="1:11" ht="21.75" thickBot="1">
      <c r="A74" s="82"/>
      <c r="B74" s="144" t="s">
        <v>145</v>
      </c>
      <c r="C74" s="96"/>
      <c r="D74" s="83">
        <f>SUM(D12+D29+D32+D35+D39+D43+D56+D59+D73)</f>
        <v>22200000</v>
      </c>
      <c r="E74" s="83">
        <f>SUM(E12+E29+E32+E35+E39+E43+E56+E59+E73)</f>
        <v>686012.12</v>
      </c>
      <c r="F74" s="83">
        <f>SUM(F12+F29+F32+F35+F39+F43+F56+F59+F73)</f>
        <v>15535218.25</v>
      </c>
      <c r="G74" s="47"/>
      <c r="H74" s="61"/>
      <c r="I74" s="47"/>
      <c r="J74" s="47"/>
      <c r="K74" s="47"/>
    </row>
    <row r="75" spans="1:11" ht="12" customHeight="1" thickTop="1">
      <c r="A75" s="143"/>
      <c r="B75" s="143"/>
      <c r="C75" s="143"/>
      <c r="D75" s="143"/>
      <c r="E75" s="143"/>
      <c r="F75" s="143"/>
      <c r="G75" s="57"/>
    </row>
    <row r="76" spans="1:11" ht="6.75" customHeight="1">
      <c r="A76" s="84"/>
      <c r="B76" s="86"/>
      <c r="C76" s="143"/>
      <c r="D76" s="143"/>
      <c r="E76" s="86"/>
      <c r="F76" s="85"/>
      <c r="G76" s="46"/>
      <c r="H76" s="46"/>
      <c r="I76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18" sqref="B18"/>
    </sheetView>
  </sheetViews>
  <sheetFormatPr defaultRowHeight="19.5"/>
  <cols>
    <col min="1" max="1" width="6" style="139" customWidth="1"/>
    <col min="2" max="2" width="42.5" style="139" customWidth="1"/>
    <col min="3" max="5" width="12.625" style="139" customWidth="1"/>
    <col min="6" max="16384" width="9" style="139"/>
  </cols>
  <sheetData>
    <row r="1" spans="1:5" s="128" customFormat="1" ht="23.25">
      <c r="A1" s="367" t="s">
        <v>118</v>
      </c>
      <c r="B1" s="367"/>
      <c r="C1" s="367"/>
      <c r="D1" s="367"/>
      <c r="E1" s="367"/>
    </row>
    <row r="2" spans="1:5" s="128" customFormat="1" ht="23.25">
      <c r="A2" s="349" t="s">
        <v>0</v>
      </c>
      <c r="B2" s="349"/>
      <c r="C2" s="349"/>
      <c r="D2" s="349"/>
      <c r="E2" s="349"/>
    </row>
    <row r="3" spans="1:5" s="97" customFormat="1" ht="23.25">
      <c r="A3" s="349" t="s">
        <v>141</v>
      </c>
      <c r="B3" s="349"/>
      <c r="C3" s="349"/>
      <c r="D3" s="349"/>
      <c r="E3" s="349"/>
    </row>
    <row r="4" spans="1:5" s="97" customFormat="1" ht="23.25">
      <c r="A4" s="349" t="s">
        <v>298</v>
      </c>
      <c r="B4" s="349"/>
      <c r="C4" s="349"/>
      <c r="D4" s="349"/>
      <c r="E4" s="349"/>
    </row>
    <row r="5" spans="1:5" s="97" customFormat="1" ht="23.25">
      <c r="A5" s="342" t="s">
        <v>119</v>
      </c>
      <c r="B5" s="342"/>
      <c r="C5" s="342"/>
      <c r="D5" s="342"/>
      <c r="E5" s="342"/>
    </row>
    <row r="6" spans="1:5" s="97" customFormat="1" ht="23.25">
      <c r="A6" s="33" t="s">
        <v>85</v>
      </c>
      <c r="B6" s="33" t="s">
        <v>7</v>
      </c>
      <c r="C6" s="230" t="s">
        <v>263</v>
      </c>
      <c r="D6" s="230" t="s">
        <v>264</v>
      </c>
      <c r="E6" s="129" t="s">
        <v>120</v>
      </c>
    </row>
    <row r="7" spans="1:5" s="97" customFormat="1" ht="23.25">
      <c r="A7" s="43">
        <v>1</v>
      </c>
      <c r="B7" s="123" t="s">
        <v>121</v>
      </c>
      <c r="C7" s="130">
        <v>7397.87</v>
      </c>
      <c r="D7" s="130">
        <v>6399.15</v>
      </c>
      <c r="E7" s="131">
        <v>7397.87</v>
      </c>
    </row>
    <row r="8" spans="1:5" s="97" customFormat="1" ht="23.25">
      <c r="A8" s="43">
        <v>3</v>
      </c>
      <c r="B8" s="124" t="s">
        <v>122</v>
      </c>
      <c r="C8" s="133">
        <v>31500</v>
      </c>
      <c r="D8" s="133">
        <v>0</v>
      </c>
      <c r="E8" s="134">
        <v>491375</v>
      </c>
    </row>
    <row r="9" spans="1:5" s="97" customFormat="1" ht="23.25">
      <c r="A9" s="132">
        <v>4</v>
      </c>
      <c r="B9" s="124" t="s">
        <v>123</v>
      </c>
      <c r="C9" s="133">
        <v>649.77</v>
      </c>
      <c r="D9" s="133">
        <v>0</v>
      </c>
      <c r="E9" s="134">
        <v>10901.61</v>
      </c>
    </row>
    <row r="10" spans="1:5" s="97" customFormat="1" ht="23.25">
      <c r="A10" s="43">
        <v>5</v>
      </c>
      <c r="B10" s="124" t="s">
        <v>150</v>
      </c>
      <c r="C10" s="133">
        <v>0</v>
      </c>
      <c r="D10" s="133">
        <v>0</v>
      </c>
      <c r="E10" s="134">
        <v>186.68</v>
      </c>
    </row>
    <row r="11" spans="1:5" s="97" customFormat="1" ht="23.25">
      <c r="A11" s="132">
        <v>6</v>
      </c>
      <c r="B11" s="124" t="s">
        <v>124</v>
      </c>
      <c r="C11" s="133">
        <v>1114</v>
      </c>
      <c r="D11" s="133">
        <v>0</v>
      </c>
      <c r="E11" s="134">
        <v>1082612.18</v>
      </c>
    </row>
    <row r="12" spans="1:5" s="97" customFormat="1" ht="23.25">
      <c r="A12" s="43">
        <v>7</v>
      </c>
      <c r="B12" s="125" t="s">
        <v>125</v>
      </c>
      <c r="C12" s="130">
        <v>0</v>
      </c>
      <c r="D12" s="130">
        <v>0</v>
      </c>
      <c r="E12" s="134">
        <v>2250</v>
      </c>
    </row>
    <row r="13" spans="1:5" s="97" customFormat="1" ht="23.25">
      <c r="A13" s="132">
        <v>8</v>
      </c>
      <c r="B13" s="124" t="s">
        <v>126</v>
      </c>
      <c r="C13" s="133">
        <v>78480</v>
      </c>
      <c r="D13" s="133">
        <v>78480</v>
      </c>
      <c r="E13" s="134">
        <v>0</v>
      </c>
    </row>
    <row r="14" spans="1:5" s="97" customFormat="1" ht="23.25">
      <c r="A14" s="43">
        <v>9</v>
      </c>
      <c r="B14" s="124" t="s">
        <v>147</v>
      </c>
      <c r="C14" s="133">
        <v>7000</v>
      </c>
      <c r="D14" s="133">
        <v>7000</v>
      </c>
      <c r="E14" s="134">
        <v>0</v>
      </c>
    </row>
    <row r="15" spans="1:5" s="97" customFormat="1" ht="23.25">
      <c r="A15" s="132">
        <v>10</v>
      </c>
      <c r="B15" s="124" t="s">
        <v>156</v>
      </c>
      <c r="C15" s="133">
        <v>10900</v>
      </c>
      <c r="D15" s="133">
        <v>10900</v>
      </c>
      <c r="E15" s="134">
        <v>0</v>
      </c>
    </row>
    <row r="16" spans="1:5" s="97" customFormat="1" ht="23.25">
      <c r="A16" s="43">
        <v>11</v>
      </c>
      <c r="B16" s="124" t="s">
        <v>148</v>
      </c>
      <c r="C16" s="133">
        <v>11033</v>
      </c>
      <c r="D16" s="133">
        <v>11033</v>
      </c>
      <c r="E16" s="134">
        <v>11033</v>
      </c>
    </row>
    <row r="17" spans="1:5" s="97" customFormat="1" ht="23.25">
      <c r="A17" s="132">
        <v>12</v>
      </c>
      <c r="B17" s="124" t="s">
        <v>212</v>
      </c>
      <c r="C17" s="133">
        <v>14664</v>
      </c>
      <c r="D17" s="133">
        <v>14664</v>
      </c>
      <c r="E17" s="134">
        <v>0</v>
      </c>
    </row>
    <row r="18" spans="1:5" s="97" customFormat="1" ht="23.25">
      <c r="A18" s="43">
        <v>13</v>
      </c>
      <c r="B18" s="124" t="s">
        <v>259</v>
      </c>
      <c r="C18" s="133">
        <v>3751</v>
      </c>
      <c r="D18" s="133">
        <v>3751</v>
      </c>
      <c r="E18" s="134">
        <v>0</v>
      </c>
    </row>
    <row r="19" spans="1:5" s="97" customFormat="1" ht="23.25">
      <c r="A19" s="43">
        <v>14</v>
      </c>
      <c r="B19" s="124" t="s">
        <v>260</v>
      </c>
      <c r="C19" s="133">
        <v>0</v>
      </c>
      <c r="D19" s="133">
        <v>0</v>
      </c>
      <c r="E19" s="134">
        <v>181900</v>
      </c>
    </row>
    <row r="20" spans="1:5" s="97" customFormat="1" ht="23.25">
      <c r="A20" s="43">
        <v>15</v>
      </c>
      <c r="B20" s="124" t="s">
        <v>261</v>
      </c>
      <c r="C20" s="133">
        <v>0</v>
      </c>
      <c r="D20" s="133">
        <v>0</v>
      </c>
      <c r="E20" s="134">
        <v>8000</v>
      </c>
    </row>
    <row r="21" spans="1:5" s="97" customFormat="1" ht="23.25">
      <c r="A21" s="43"/>
      <c r="B21" s="124"/>
      <c r="C21" s="133"/>
      <c r="D21" s="133"/>
      <c r="E21" s="134"/>
    </row>
    <row r="22" spans="1:5" s="97" customFormat="1" ht="23.25">
      <c r="A22" s="132"/>
      <c r="B22" s="126"/>
      <c r="C22" s="135"/>
      <c r="D22" s="135"/>
      <c r="E22" s="131"/>
    </row>
    <row r="23" spans="1:5" s="97" customFormat="1" ht="24" thickBot="1">
      <c r="C23" s="136">
        <f>SUM(C7:C22)</f>
        <v>166489.64000000001</v>
      </c>
      <c r="D23" s="136">
        <f t="shared" ref="D23" si="0">SUM(D7:D22)</f>
        <v>132227.15</v>
      </c>
      <c r="E23" s="136">
        <f>SUM(E7:E22)</f>
        <v>1795656.3399999999</v>
      </c>
    </row>
    <row r="24" spans="1:5" s="97" customFormat="1" ht="24" thickTop="1">
      <c r="C24" s="137"/>
      <c r="D24" s="137"/>
      <c r="E24" s="138"/>
    </row>
    <row r="25" spans="1:5" s="97" customFormat="1" ht="23.25">
      <c r="C25" s="137"/>
      <c r="D25" s="137"/>
      <c r="E25" s="138"/>
    </row>
    <row r="26" spans="1:5" s="97" customFormat="1" ht="23.25">
      <c r="C26" s="137"/>
      <c r="D26" s="137"/>
      <c r="E26" s="138"/>
    </row>
    <row r="27" spans="1:5" s="97" customFormat="1" ht="23.25">
      <c r="C27" s="137"/>
      <c r="D27" s="137"/>
      <c r="E27" s="138"/>
    </row>
    <row r="28" spans="1:5" s="97" customFormat="1" ht="23.25">
      <c r="C28" s="137"/>
      <c r="D28" s="137"/>
      <c r="E28" s="138"/>
    </row>
    <row r="29" spans="1:5" s="97" customFormat="1" ht="23.25">
      <c r="C29" s="137"/>
      <c r="D29" s="137"/>
      <c r="E29" s="138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B54" sqref="B54"/>
    </sheetView>
  </sheetViews>
  <sheetFormatPr defaultRowHeight="23.25"/>
  <cols>
    <col min="1" max="1" width="40.125" style="154" customWidth="1"/>
    <col min="2" max="2" width="18.5" style="154" customWidth="1"/>
    <col min="3" max="3" width="18.25" style="154" customWidth="1"/>
    <col min="4" max="5" width="18.5" style="154" customWidth="1"/>
    <col min="6" max="6" width="14" style="154" customWidth="1"/>
    <col min="7" max="16384" width="9" style="154"/>
  </cols>
  <sheetData>
    <row r="1" spans="1:6" s="150" customFormat="1">
      <c r="A1" s="367" t="s">
        <v>232</v>
      </c>
      <c r="B1" s="367"/>
      <c r="C1" s="367"/>
      <c r="D1" s="149"/>
      <c r="E1" s="149"/>
      <c r="F1" s="149"/>
    </row>
    <row r="2" spans="1:6" s="150" customFormat="1">
      <c r="A2" s="349" t="s">
        <v>0</v>
      </c>
      <c r="B2" s="349"/>
      <c r="C2" s="349"/>
      <c r="D2" s="149"/>
      <c r="E2" s="149"/>
      <c r="F2" s="149"/>
    </row>
    <row r="3" spans="1:6" s="151" customFormat="1">
      <c r="A3" s="349" t="s">
        <v>141</v>
      </c>
      <c r="B3" s="349"/>
      <c r="C3" s="349"/>
      <c r="D3" s="149"/>
      <c r="E3" s="149"/>
      <c r="F3" s="149"/>
    </row>
    <row r="4" spans="1:6" s="151" customFormat="1">
      <c r="A4" s="349" t="s">
        <v>300</v>
      </c>
      <c r="B4" s="349"/>
      <c r="C4" s="349"/>
      <c r="D4" s="149"/>
      <c r="E4" s="149"/>
      <c r="F4" s="149"/>
    </row>
    <row r="5" spans="1:6" s="151" customFormat="1">
      <c r="A5" s="331" t="s">
        <v>219</v>
      </c>
      <c r="B5" s="331"/>
      <c r="C5" s="331"/>
      <c r="D5" s="152"/>
      <c r="E5" s="152"/>
      <c r="F5" s="152"/>
    </row>
    <row r="6" spans="1:6">
      <c r="A6" s="153" t="s">
        <v>7</v>
      </c>
      <c r="B6" s="153" t="s">
        <v>4</v>
      </c>
      <c r="C6" s="153" t="s">
        <v>86</v>
      </c>
    </row>
    <row r="7" spans="1:6">
      <c r="A7" s="155" t="s">
        <v>220</v>
      </c>
      <c r="B7" s="156"/>
      <c r="C7" s="156"/>
    </row>
    <row r="8" spans="1:6">
      <c r="A8" s="156" t="s">
        <v>221</v>
      </c>
      <c r="B8" s="157">
        <v>11683</v>
      </c>
      <c r="C8" s="158">
        <f>16353+441645.29+11683+11683</f>
        <v>481364.29</v>
      </c>
    </row>
    <row r="9" spans="1:6">
      <c r="A9" s="156" t="s">
        <v>222</v>
      </c>
      <c r="B9" s="158">
        <v>800350</v>
      </c>
      <c r="C9" s="158">
        <f>1617850+806550+803250+800350</f>
        <v>4028000</v>
      </c>
    </row>
    <row r="10" spans="1:6" s="161" customFormat="1" ht="24" thickBot="1">
      <c r="A10" s="159" t="s">
        <v>144</v>
      </c>
      <c r="B10" s="160">
        <f>SUM(B8:B9)</f>
        <v>812033</v>
      </c>
      <c r="C10" s="160">
        <f>SUM(C8:C9)</f>
        <v>4509364.29</v>
      </c>
    </row>
    <row r="11" spans="1:6" ht="24" thickTop="1">
      <c r="A11" s="155" t="s">
        <v>223</v>
      </c>
      <c r="B11" s="156"/>
      <c r="C11" s="156"/>
    </row>
    <row r="12" spans="1:6">
      <c r="A12" s="156" t="s">
        <v>221</v>
      </c>
      <c r="B12" s="157">
        <v>218720</v>
      </c>
      <c r="C12" s="158">
        <f>218720+218720+218720+218720+218720</f>
        <v>1093600</v>
      </c>
    </row>
    <row r="13" spans="1:6">
      <c r="A13" s="156" t="s">
        <v>222</v>
      </c>
      <c r="B13" s="158">
        <v>0</v>
      </c>
      <c r="C13" s="158">
        <v>0</v>
      </c>
    </row>
    <row r="14" spans="1:6" s="161" customFormat="1" ht="24" thickBot="1">
      <c r="A14" s="159" t="s">
        <v>144</v>
      </c>
      <c r="B14" s="160">
        <f>SUM(B12:B13)</f>
        <v>218720</v>
      </c>
      <c r="C14" s="160">
        <f>SUM(C12:C13)</f>
        <v>1093600</v>
      </c>
    </row>
    <row r="15" spans="1:6" ht="24" thickTop="1">
      <c r="A15" s="155" t="s">
        <v>224</v>
      </c>
      <c r="B15" s="156"/>
      <c r="C15" s="156"/>
    </row>
    <row r="16" spans="1:6">
      <c r="A16" s="156" t="s">
        <v>221</v>
      </c>
      <c r="B16" s="157">
        <v>496285</v>
      </c>
      <c r="C16" s="158">
        <f>519720+493290+485105+640142.74+496285</f>
        <v>2634542.7400000002</v>
      </c>
    </row>
    <row r="17" spans="1:3">
      <c r="A17" s="156" t="s">
        <v>222</v>
      </c>
      <c r="B17" s="158">
        <v>150300</v>
      </c>
      <c r="C17" s="158">
        <f>351140+148320+156240+150300</f>
        <v>806000</v>
      </c>
    </row>
    <row r="18" spans="1:3" s="161" customFormat="1" ht="24" thickBot="1">
      <c r="A18" s="159" t="s">
        <v>144</v>
      </c>
      <c r="B18" s="160">
        <f>SUM(B16:B17)</f>
        <v>646585</v>
      </c>
      <c r="C18" s="160">
        <f>SUM(C16:C17)</f>
        <v>3440542.74</v>
      </c>
    </row>
    <row r="19" spans="1:3" ht="24" thickTop="1">
      <c r="A19" s="155" t="s">
        <v>225</v>
      </c>
      <c r="B19" s="156"/>
      <c r="C19" s="156"/>
    </row>
    <row r="20" spans="1:3">
      <c r="A20" s="156" t="s">
        <v>221</v>
      </c>
      <c r="B20" s="157">
        <v>22940</v>
      </c>
      <c r="C20" s="158">
        <f>42564+16960+27280+22940</f>
        <v>109744</v>
      </c>
    </row>
    <row r="21" spans="1:3">
      <c r="A21" s="156" t="s">
        <v>222</v>
      </c>
      <c r="B21" s="158">
        <v>0</v>
      </c>
      <c r="C21" s="158">
        <v>0</v>
      </c>
    </row>
    <row r="22" spans="1:3" s="161" customFormat="1" ht="24" thickBot="1">
      <c r="A22" s="159" t="s">
        <v>144</v>
      </c>
      <c r="B22" s="160">
        <f>SUM(B20:B21)</f>
        <v>22940</v>
      </c>
      <c r="C22" s="160">
        <f>SUM(C20:C21)</f>
        <v>109744</v>
      </c>
    </row>
    <row r="23" spans="1:3" ht="24" thickTop="1">
      <c r="A23" s="155" t="s">
        <v>226</v>
      </c>
      <c r="B23" s="156"/>
      <c r="C23" s="156"/>
    </row>
    <row r="24" spans="1:3">
      <c r="A24" s="156" t="s">
        <v>221</v>
      </c>
      <c r="B24" s="157">
        <v>71010</v>
      </c>
      <c r="C24" s="158">
        <f>5700+384236+209308+232876+71010</f>
        <v>903130</v>
      </c>
    </row>
    <row r="25" spans="1:3">
      <c r="A25" s="156" t="s">
        <v>222</v>
      </c>
      <c r="B25" s="158">
        <v>0</v>
      </c>
      <c r="C25" s="158" t="s">
        <v>273</v>
      </c>
    </row>
    <row r="26" spans="1:3" s="161" customFormat="1" ht="24" thickBot="1">
      <c r="A26" s="159" t="s">
        <v>144</v>
      </c>
      <c r="B26" s="160">
        <f>SUM(B24:B25)</f>
        <v>71010</v>
      </c>
      <c r="C26" s="160">
        <f>SUM(C24:C25)</f>
        <v>903130</v>
      </c>
    </row>
    <row r="27" spans="1:3" ht="24" thickTop="1">
      <c r="A27" s="155" t="s">
        <v>227</v>
      </c>
      <c r="B27" s="156"/>
      <c r="C27" s="156"/>
    </row>
    <row r="28" spans="1:3">
      <c r="A28" s="156" t="s">
        <v>221</v>
      </c>
      <c r="B28" s="157">
        <v>84027.65</v>
      </c>
      <c r="C28" s="158">
        <f>73662+93487.32+97088+84027.65</f>
        <v>348264.97</v>
      </c>
    </row>
    <row r="29" spans="1:3">
      <c r="A29" s="156" t="s">
        <v>222</v>
      </c>
      <c r="B29" s="158">
        <v>0</v>
      </c>
      <c r="C29" s="158">
        <v>96600</v>
      </c>
    </row>
    <row r="30" spans="1:3" s="161" customFormat="1" ht="24" thickBot="1">
      <c r="A30" s="162" t="s">
        <v>144</v>
      </c>
      <c r="B30" s="160">
        <f>SUM(B28:B29)</f>
        <v>84027.65</v>
      </c>
      <c r="C30" s="160">
        <f>SUM(C28:C29)</f>
        <v>444864.97</v>
      </c>
    </row>
    <row r="31" spans="1:3" s="161" customFormat="1" ht="24" thickTop="1">
      <c r="A31" s="163"/>
      <c r="B31" s="164"/>
      <c r="C31" s="164"/>
    </row>
    <row r="32" spans="1:3" s="161" customFormat="1">
      <c r="A32" s="165"/>
      <c r="B32" s="166"/>
      <c r="C32" s="166"/>
    </row>
    <row r="33" spans="1:3" s="161" customFormat="1">
      <c r="A33" s="368" t="s">
        <v>32</v>
      </c>
      <c r="B33" s="368"/>
      <c r="C33" s="368"/>
    </row>
    <row r="34" spans="1:3" s="161" customFormat="1">
      <c r="A34" s="167"/>
      <c r="B34" s="167"/>
      <c r="C34" s="167"/>
    </row>
    <row r="35" spans="1:3">
      <c r="A35" s="153" t="s">
        <v>7</v>
      </c>
      <c r="B35" s="153" t="s">
        <v>4</v>
      </c>
      <c r="C35" s="153" t="s">
        <v>86</v>
      </c>
    </row>
    <row r="36" spans="1:3">
      <c r="A36" s="168" t="s">
        <v>228</v>
      </c>
      <c r="B36" s="169"/>
      <c r="C36" s="169"/>
    </row>
    <row r="37" spans="1:3">
      <c r="A37" s="156" t="s">
        <v>221</v>
      </c>
      <c r="B37" s="157">
        <v>41194.85</v>
      </c>
      <c r="C37" s="158">
        <f>36009.34+47516.98+45002.15+54660.41+41194.85</f>
        <v>224383.73</v>
      </c>
    </row>
    <row r="38" spans="1:3">
      <c r="A38" s="156" t="s">
        <v>222</v>
      </c>
      <c r="B38" s="158">
        <v>0</v>
      </c>
      <c r="C38" s="158">
        <v>0</v>
      </c>
    </row>
    <row r="39" spans="1:3" s="161" customFormat="1" ht="24" thickBot="1">
      <c r="A39" s="159" t="s">
        <v>144</v>
      </c>
      <c r="B39" s="160">
        <f>SUM(B37:B38)</f>
        <v>41194.85</v>
      </c>
      <c r="C39" s="160">
        <f>SUM(C37:C38)</f>
        <v>224383.73</v>
      </c>
    </row>
    <row r="40" spans="1:3" ht="24" thickTop="1">
      <c r="A40" s="155" t="s">
        <v>229</v>
      </c>
      <c r="B40" s="156"/>
      <c r="C40" s="156"/>
    </row>
    <row r="41" spans="1:3">
      <c r="A41" s="156" t="s">
        <v>221</v>
      </c>
      <c r="B41" s="157">
        <v>117550</v>
      </c>
      <c r="C41" s="158">
        <f>6650+117550</f>
        <v>124200</v>
      </c>
    </row>
    <row r="42" spans="1:3">
      <c r="A42" s="156" t="s">
        <v>222</v>
      </c>
      <c r="B42" s="158">
        <v>0</v>
      </c>
      <c r="C42" s="158">
        <v>0</v>
      </c>
    </row>
    <row r="43" spans="1:3" s="161" customFormat="1" ht="24" thickBot="1">
      <c r="A43" s="159" t="s">
        <v>144</v>
      </c>
      <c r="B43" s="160">
        <f>SUM(B41:B42)</f>
        <v>117550</v>
      </c>
      <c r="C43" s="160">
        <f>SUM(C41:C42)</f>
        <v>124200</v>
      </c>
    </row>
    <row r="44" spans="1:3" ht="24" thickTop="1">
      <c r="A44" s="155" t="s">
        <v>230</v>
      </c>
      <c r="B44" s="156"/>
      <c r="C44" s="156"/>
    </row>
    <row r="45" spans="1:3">
      <c r="A45" s="156" t="s">
        <v>221</v>
      </c>
      <c r="B45" s="157">
        <v>652000</v>
      </c>
      <c r="C45" s="158">
        <f>46000+652000</f>
        <v>698000</v>
      </c>
    </row>
    <row r="46" spans="1:3">
      <c r="A46" s="156" t="s">
        <v>222</v>
      </c>
      <c r="B46" s="158">
        <v>0</v>
      </c>
      <c r="C46" s="158">
        <v>494800</v>
      </c>
    </row>
    <row r="47" spans="1:3" s="161" customFormat="1" ht="24" thickBot="1">
      <c r="A47" s="159" t="s">
        <v>144</v>
      </c>
      <c r="B47" s="160">
        <f>SUM(B45:B46)</f>
        <v>652000</v>
      </c>
      <c r="C47" s="160">
        <f>SUM(C45:C46)</f>
        <v>1192800</v>
      </c>
    </row>
    <row r="48" spans="1:3" ht="24" thickTop="1">
      <c r="A48" s="155" t="s">
        <v>231</v>
      </c>
      <c r="B48" s="156"/>
      <c r="C48" s="156"/>
    </row>
    <row r="49" spans="1:3">
      <c r="A49" s="156" t="s">
        <v>221</v>
      </c>
      <c r="B49" s="157">
        <v>92000</v>
      </c>
      <c r="C49" s="158">
        <f>3000+25000+272000+380758.87+92000</f>
        <v>772758.87</v>
      </c>
    </row>
    <row r="50" spans="1:3">
      <c r="A50" s="156" t="s">
        <v>222</v>
      </c>
      <c r="B50" s="158">
        <v>0</v>
      </c>
      <c r="C50" s="158">
        <v>0</v>
      </c>
    </row>
    <row r="51" spans="1:3" s="161" customFormat="1" ht="24" thickBot="1">
      <c r="A51" s="159" t="s">
        <v>144</v>
      </c>
      <c r="B51" s="160">
        <f>SUM(B49:B50)</f>
        <v>92000</v>
      </c>
      <c r="C51" s="160">
        <f>SUM(C49:C50)</f>
        <v>772758.87</v>
      </c>
    </row>
    <row r="52" spans="1:3" ht="24" thickTop="1">
      <c r="A52" s="170"/>
      <c r="B52" s="170"/>
      <c r="C52" s="170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topLeftCell="A46" zoomScaleSheetLayoutView="100" workbookViewId="0">
      <selection activeCell="A35" sqref="A35"/>
    </sheetView>
  </sheetViews>
  <sheetFormatPr defaultRowHeight="24"/>
  <cols>
    <col min="1" max="1" width="11.25" style="244" customWidth="1"/>
    <col min="2" max="2" width="9" style="244"/>
    <col min="3" max="3" width="4.75" style="244" customWidth="1"/>
    <col min="4" max="4" width="9.75" style="244" customWidth="1"/>
    <col min="5" max="5" width="6.25" style="244" customWidth="1"/>
    <col min="6" max="6" width="5.875" style="244" customWidth="1"/>
    <col min="7" max="7" width="11.5" style="244" bestFit="1" customWidth="1"/>
    <col min="8" max="8" width="6.625" style="244" customWidth="1"/>
    <col min="9" max="9" width="15.125" style="244" hidden="1" customWidth="1"/>
    <col min="10" max="10" width="12.5" style="244" hidden="1" customWidth="1"/>
    <col min="11" max="11" width="9.375" style="244" hidden="1" customWidth="1"/>
    <col min="12" max="12" width="13.625" style="244" customWidth="1"/>
    <col min="13" max="13" width="5" style="244" customWidth="1"/>
    <col min="14" max="14" width="6.375" style="244" customWidth="1"/>
    <col min="15" max="15" width="8" style="244" hidden="1" customWidth="1"/>
    <col min="16" max="16" width="4.25" style="244" customWidth="1"/>
    <col min="17" max="17" width="9.125" style="244" bestFit="1" customWidth="1"/>
    <col min="18" max="256" width="9" style="244"/>
    <col min="257" max="257" width="11.25" style="244" customWidth="1"/>
    <col min="258" max="258" width="9" style="244"/>
    <col min="259" max="259" width="4.75" style="244" customWidth="1"/>
    <col min="260" max="260" width="9.75" style="244" customWidth="1"/>
    <col min="261" max="261" width="9" style="244"/>
    <col min="262" max="262" width="5.875" style="244" customWidth="1"/>
    <col min="263" max="263" width="11.5" style="244" bestFit="1" customWidth="1"/>
    <col min="264" max="264" width="7" style="244" customWidth="1"/>
    <col min="265" max="267" width="0" style="244" hidden="1" customWidth="1"/>
    <col min="268" max="268" width="11" style="244" customWidth="1"/>
    <col min="269" max="269" width="5" style="244" customWidth="1"/>
    <col min="270" max="270" width="6.375" style="244" customWidth="1"/>
    <col min="271" max="271" width="0" style="244" hidden="1" customWidth="1"/>
    <col min="272" max="272" width="4.25" style="244" customWidth="1"/>
    <col min="273" max="273" width="9.125" style="244" bestFit="1" customWidth="1"/>
    <col min="274" max="512" width="9" style="244"/>
    <col min="513" max="513" width="11.25" style="244" customWidth="1"/>
    <col min="514" max="514" width="9" style="244"/>
    <col min="515" max="515" width="4.75" style="244" customWidth="1"/>
    <col min="516" max="516" width="9.75" style="244" customWidth="1"/>
    <col min="517" max="517" width="9" style="244"/>
    <col min="518" max="518" width="5.875" style="244" customWidth="1"/>
    <col min="519" max="519" width="11.5" style="244" bestFit="1" customWidth="1"/>
    <col min="520" max="520" width="7" style="244" customWidth="1"/>
    <col min="521" max="523" width="0" style="244" hidden="1" customWidth="1"/>
    <col min="524" max="524" width="11" style="244" customWidth="1"/>
    <col min="525" max="525" width="5" style="244" customWidth="1"/>
    <col min="526" max="526" width="6.375" style="244" customWidth="1"/>
    <col min="527" max="527" width="0" style="244" hidden="1" customWidth="1"/>
    <col min="528" max="528" width="4.25" style="244" customWidth="1"/>
    <col min="529" max="529" width="9.125" style="244" bestFit="1" customWidth="1"/>
    <col min="530" max="768" width="9" style="244"/>
    <col min="769" max="769" width="11.25" style="244" customWidth="1"/>
    <col min="770" max="770" width="9" style="244"/>
    <col min="771" max="771" width="4.75" style="244" customWidth="1"/>
    <col min="772" max="772" width="9.75" style="244" customWidth="1"/>
    <col min="773" max="773" width="9" style="244"/>
    <col min="774" max="774" width="5.875" style="244" customWidth="1"/>
    <col min="775" max="775" width="11.5" style="244" bestFit="1" customWidth="1"/>
    <col min="776" max="776" width="7" style="244" customWidth="1"/>
    <col min="777" max="779" width="0" style="244" hidden="1" customWidth="1"/>
    <col min="780" max="780" width="11" style="244" customWidth="1"/>
    <col min="781" max="781" width="5" style="244" customWidth="1"/>
    <col min="782" max="782" width="6.375" style="244" customWidth="1"/>
    <col min="783" max="783" width="0" style="244" hidden="1" customWidth="1"/>
    <col min="784" max="784" width="4.25" style="244" customWidth="1"/>
    <col min="785" max="785" width="9.125" style="244" bestFit="1" customWidth="1"/>
    <col min="786" max="1024" width="9" style="244"/>
    <col min="1025" max="1025" width="11.25" style="244" customWidth="1"/>
    <col min="1026" max="1026" width="9" style="244"/>
    <col min="1027" max="1027" width="4.75" style="244" customWidth="1"/>
    <col min="1028" max="1028" width="9.75" style="244" customWidth="1"/>
    <col min="1029" max="1029" width="9" style="244"/>
    <col min="1030" max="1030" width="5.875" style="244" customWidth="1"/>
    <col min="1031" max="1031" width="11.5" style="244" bestFit="1" customWidth="1"/>
    <col min="1032" max="1032" width="7" style="244" customWidth="1"/>
    <col min="1033" max="1035" width="0" style="244" hidden="1" customWidth="1"/>
    <col min="1036" max="1036" width="11" style="244" customWidth="1"/>
    <col min="1037" max="1037" width="5" style="244" customWidth="1"/>
    <col min="1038" max="1038" width="6.375" style="244" customWidth="1"/>
    <col min="1039" max="1039" width="0" style="244" hidden="1" customWidth="1"/>
    <col min="1040" max="1040" width="4.25" style="244" customWidth="1"/>
    <col min="1041" max="1041" width="9.125" style="244" bestFit="1" customWidth="1"/>
    <col min="1042" max="1280" width="9" style="244"/>
    <col min="1281" max="1281" width="11.25" style="244" customWidth="1"/>
    <col min="1282" max="1282" width="9" style="244"/>
    <col min="1283" max="1283" width="4.75" style="244" customWidth="1"/>
    <col min="1284" max="1284" width="9.75" style="244" customWidth="1"/>
    <col min="1285" max="1285" width="9" style="244"/>
    <col min="1286" max="1286" width="5.875" style="244" customWidth="1"/>
    <col min="1287" max="1287" width="11.5" style="244" bestFit="1" customWidth="1"/>
    <col min="1288" max="1288" width="7" style="244" customWidth="1"/>
    <col min="1289" max="1291" width="0" style="244" hidden="1" customWidth="1"/>
    <col min="1292" max="1292" width="11" style="244" customWidth="1"/>
    <col min="1293" max="1293" width="5" style="244" customWidth="1"/>
    <col min="1294" max="1294" width="6.375" style="244" customWidth="1"/>
    <col min="1295" max="1295" width="0" style="244" hidden="1" customWidth="1"/>
    <col min="1296" max="1296" width="4.25" style="244" customWidth="1"/>
    <col min="1297" max="1297" width="9.125" style="244" bestFit="1" customWidth="1"/>
    <col min="1298" max="1536" width="9" style="244"/>
    <col min="1537" max="1537" width="11.25" style="244" customWidth="1"/>
    <col min="1538" max="1538" width="9" style="244"/>
    <col min="1539" max="1539" width="4.75" style="244" customWidth="1"/>
    <col min="1540" max="1540" width="9.75" style="244" customWidth="1"/>
    <col min="1541" max="1541" width="9" style="244"/>
    <col min="1542" max="1542" width="5.875" style="244" customWidth="1"/>
    <col min="1543" max="1543" width="11.5" style="244" bestFit="1" customWidth="1"/>
    <col min="1544" max="1544" width="7" style="244" customWidth="1"/>
    <col min="1545" max="1547" width="0" style="244" hidden="1" customWidth="1"/>
    <col min="1548" max="1548" width="11" style="244" customWidth="1"/>
    <col min="1549" max="1549" width="5" style="244" customWidth="1"/>
    <col min="1550" max="1550" width="6.375" style="244" customWidth="1"/>
    <col min="1551" max="1551" width="0" style="244" hidden="1" customWidth="1"/>
    <col min="1552" max="1552" width="4.25" style="244" customWidth="1"/>
    <col min="1553" max="1553" width="9.125" style="244" bestFit="1" customWidth="1"/>
    <col min="1554" max="1792" width="9" style="244"/>
    <col min="1793" max="1793" width="11.25" style="244" customWidth="1"/>
    <col min="1794" max="1794" width="9" style="244"/>
    <col min="1795" max="1795" width="4.75" style="244" customWidth="1"/>
    <col min="1796" max="1796" width="9.75" style="244" customWidth="1"/>
    <col min="1797" max="1797" width="9" style="244"/>
    <col min="1798" max="1798" width="5.875" style="244" customWidth="1"/>
    <col min="1799" max="1799" width="11.5" style="244" bestFit="1" customWidth="1"/>
    <col min="1800" max="1800" width="7" style="244" customWidth="1"/>
    <col min="1801" max="1803" width="0" style="244" hidden="1" customWidth="1"/>
    <col min="1804" max="1804" width="11" style="244" customWidth="1"/>
    <col min="1805" max="1805" width="5" style="244" customWidth="1"/>
    <col min="1806" max="1806" width="6.375" style="244" customWidth="1"/>
    <col min="1807" max="1807" width="0" style="244" hidden="1" customWidth="1"/>
    <col min="1808" max="1808" width="4.25" style="244" customWidth="1"/>
    <col min="1809" max="1809" width="9.125" style="244" bestFit="1" customWidth="1"/>
    <col min="1810" max="2048" width="9" style="244"/>
    <col min="2049" max="2049" width="11.25" style="244" customWidth="1"/>
    <col min="2050" max="2050" width="9" style="244"/>
    <col min="2051" max="2051" width="4.75" style="244" customWidth="1"/>
    <col min="2052" max="2052" width="9.75" style="244" customWidth="1"/>
    <col min="2053" max="2053" width="9" style="244"/>
    <col min="2054" max="2054" width="5.875" style="244" customWidth="1"/>
    <col min="2055" max="2055" width="11.5" style="244" bestFit="1" customWidth="1"/>
    <col min="2056" max="2056" width="7" style="244" customWidth="1"/>
    <col min="2057" max="2059" width="0" style="244" hidden="1" customWidth="1"/>
    <col min="2060" max="2060" width="11" style="244" customWidth="1"/>
    <col min="2061" max="2061" width="5" style="244" customWidth="1"/>
    <col min="2062" max="2062" width="6.375" style="244" customWidth="1"/>
    <col min="2063" max="2063" width="0" style="244" hidden="1" customWidth="1"/>
    <col min="2064" max="2064" width="4.25" style="244" customWidth="1"/>
    <col min="2065" max="2065" width="9.125" style="244" bestFit="1" customWidth="1"/>
    <col min="2066" max="2304" width="9" style="244"/>
    <col min="2305" max="2305" width="11.25" style="244" customWidth="1"/>
    <col min="2306" max="2306" width="9" style="244"/>
    <col min="2307" max="2307" width="4.75" style="244" customWidth="1"/>
    <col min="2308" max="2308" width="9.75" style="244" customWidth="1"/>
    <col min="2309" max="2309" width="9" style="244"/>
    <col min="2310" max="2310" width="5.875" style="244" customWidth="1"/>
    <col min="2311" max="2311" width="11.5" style="244" bestFit="1" customWidth="1"/>
    <col min="2312" max="2312" width="7" style="244" customWidth="1"/>
    <col min="2313" max="2315" width="0" style="244" hidden="1" customWidth="1"/>
    <col min="2316" max="2316" width="11" style="244" customWidth="1"/>
    <col min="2317" max="2317" width="5" style="244" customWidth="1"/>
    <col min="2318" max="2318" width="6.375" style="244" customWidth="1"/>
    <col min="2319" max="2319" width="0" style="244" hidden="1" customWidth="1"/>
    <col min="2320" max="2320" width="4.25" style="244" customWidth="1"/>
    <col min="2321" max="2321" width="9.125" style="244" bestFit="1" customWidth="1"/>
    <col min="2322" max="2560" width="9" style="244"/>
    <col min="2561" max="2561" width="11.25" style="244" customWidth="1"/>
    <col min="2562" max="2562" width="9" style="244"/>
    <col min="2563" max="2563" width="4.75" style="244" customWidth="1"/>
    <col min="2564" max="2564" width="9.75" style="244" customWidth="1"/>
    <col min="2565" max="2565" width="9" style="244"/>
    <col min="2566" max="2566" width="5.875" style="244" customWidth="1"/>
    <col min="2567" max="2567" width="11.5" style="244" bestFit="1" customWidth="1"/>
    <col min="2568" max="2568" width="7" style="244" customWidth="1"/>
    <col min="2569" max="2571" width="0" style="244" hidden="1" customWidth="1"/>
    <col min="2572" max="2572" width="11" style="244" customWidth="1"/>
    <col min="2573" max="2573" width="5" style="244" customWidth="1"/>
    <col min="2574" max="2574" width="6.375" style="244" customWidth="1"/>
    <col min="2575" max="2575" width="0" style="244" hidden="1" customWidth="1"/>
    <col min="2576" max="2576" width="4.25" style="244" customWidth="1"/>
    <col min="2577" max="2577" width="9.125" style="244" bestFit="1" customWidth="1"/>
    <col min="2578" max="2816" width="9" style="244"/>
    <col min="2817" max="2817" width="11.25" style="244" customWidth="1"/>
    <col min="2818" max="2818" width="9" style="244"/>
    <col min="2819" max="2819" width="4.75" style="244" customWidth="1"/>
    <col min="2820" max="2820" width="9.75" style="244" customWidth="1"/>
    <col min="2821" max="2821" width="9" style="244"/>
    <col min="2822" max="2822" width="5.875" style="244" customWidth="1"/>
    <col min="2823" max="2823" width="11.5" style="244" bestFit="1" customWidth="1"/>
    <col min="2824" max="2824" width="7" style="244" customWidth="1"/>
    <col min="2825" max="2827" width="0" style="244" hidden="1" customWidth="1"/>
    <col min="2828" max="2828" width="11" style="244" customWidth="1"/>
    <col min="2829" max="2829" width="5" style="244" customWidth="1"/>
    <col min="2830" max="2830" width="6.375" style="244" customWidth="1"/>
    <col min="2831" max="2831" width="0" style="244" hidden="1" customWidth="1"/>
    <col min="2832" max="2832" width="4.25" style="244" customWidth="1"/>
    <col min="2833" max="2833" width="9.125" style="244" bestFit="1" customWidth="1"/>
    <col min="2834" max="3072" width="9" style="244"/>
    <col min="3073" max="3073" width="11.25" style="244" customWidth="1"/>
    <col min="3074" max="3074" width="9" style="244"/>
    <col min="3075" max="3075" width="4.75" style="244" customWidth="1"/>
    <col min="3076" max="3076" width="9.75" style="244" customWidth="1"/>
    <col min="3077" max="3077" width="9" style="244"/>
    <col min="3078" max="3078" width="5.875" style="244" customWidth="1"/>
    <col min="3079" max="3079" width="11.5" style="244" bestFit="1" customWidth="1"/>
    <col min="3080" max="3080" width="7" style="244" customWidth="1"/>
    <col min="3081" max="3083" width="0" style="244" hidden="1" customWidth="1"/>
    <col min="3084" max="3084" width="11" style="244" customWidth="1"/>
    <col min="3085" max="3085" width="5" style="244" customWidth="1"/>
    <col min="3086" max="3086" width="6.375" style="244" customWidth="1"/>
    <col min="3087" max="3087" width="0" style="244" hidden="1" customWidth="1"/>
    <col min="3088" max="3088" width="4.25" style="244" customWidth="1"/>
    <col min="3089" max="3089" width="9.125" style="244" bestFit="1" customWidth="1"/>
    <col min="3090" max="3328" width="9" style="244"/>
    <col min="3329" max="3329" width="11.25" style="244" customWidth="1"/>
    <col min="3330" max="3330" width="9" style="244"/>
    <col min="3331" max="3331" width="4.75" style="244" customWidth="1"/>
    <col min="3332" max="3332" width="9.75" style="244" customWidth="1"/>
    <col min="3333" max="3333" width="9" style="244"/>
    <col min="3334" max="3334" width="5.875" style="244" customWidth="1"/>
    <col min="3335" max="3335" width="11.5" style="244" bestFit="1" customWidth="1"/>
    <col min="3336" max="3336" width="7" style="244" customWidth="1"/>
    <col min="3337" max="3339" width="0" style="244" hidden="1" customWidth="1"/>
    <col min="3340" max="3340" width="11" style="244" customWidth="1"/>
    <col min="3341" max="3341" width="5" style="244" customWidth="1"/>
    <col min="3342" max="3342" width="6.375" style="244" customWidth="1"/>
    <col min="3343" max="3343" width="0" style="244" hidden="1" customWidth="1"/>
    <col min="3344" max="3344" width="4.25" style="244" customWidth="1"/>
    <col min="3345" max="3345" width="9.125" style="244" bestFit="1" customWidth="1"/>
    <col min="3346" max="3584" width="9" style="244"/>
    <col min="3585" max="3585" width="11.25" style="244" customWidth="1"/>
    <col min="3586" max="3586" width="9" style="244"/>
    <col min="3587" max="3587" width="4.75" style="244" customWidth="1"/>
    <col min="3588" max="3588" width="9.75" style="244" customWidth="1"/>
    <col min="3589" max="3589" width="9" style="244"/>
    <col min="3590" max="3590" width="5.875" style="244" customWidth="1"/>
    <col min="3591" max="3591" width="11.5" style="244" bestFit="1" customWidth="1"/>
    <col min="3592" max="3592" width="7" style="244" customWidth="1"/>
    <col min="3593" max="3595" width="0" style="244" hidden="1" customWidth="1"/>
    <col min="3596" max="3596" width="11" style="244" customWidth="1"/>
    <col min="3597" max="3597" width="5" style="244" customWidth="1"/>
    <col min="3598" max="3598" width="6.375" style="244" customWidth="1"/>
    <col min="3599" max="3599" width="0" style="244" hidden="1" customWidth="1"/>
    <col min="3600" max="3600" width="4.25" style="244" customWidth="1"/>
    <col min="3601" max="3601" width="9.125" style="244" bestFit="1" customWidth="1"/>
    <col min="3602" max="3840" width="9" style="244"/>
    <col min="3841" max="3841" width="11.25" style="244" customWidth="1"/>
    <col min="3842" max="3842" width="9" style="244"/>
    <col min="3843" max="3843" width="4.75" style="244" customWidth="1"/>
    <col min="3844" max="3844" width="9.75" style="244" customWidth="1"/>
    <col min="3845" max="3845" width="9" style="244"/>
    <col min="3846" max="3846" width="5.875" style="244" customWidth="1"/>
    <col min="3847" max="3847" width="11.5" style="244" bestFit="1" customWidth="1"/>
    <col min="3848" max="3848" width="7" style="244" customWidth="1"/>
    <col min="3849" max="3851" width="0" style="244" hidden="1" customWidth="1"/>
    <col min="3852" max="3852" width="11" style="244" customWidth="1"/>
    <col min="3853" max="3853" width="5" style="244" customWidth="1"/>
    <col min="3854" max="3854" width="6.375" style="244" customWidth="1"/>
    <col min="3855" max="3855" width="0" style="244" hidden="1" customWidth="1"/>
    <col min="3856" max="3856" width="4.25" style="244" customWidth="1"/>
    <col min="3857" max="3857" width="9.125" style="244" bestFit="1" customWidth="1"/>
    <col min="3858" max="4096" width="9" style="244"/>
    <col min="4097" max="4097" width="11.25" style="244" customWidth="1"/>
    <col min="4098" max="4098" width="9" style="244"/>
    <col min="4099" max="4099" width="4.75" style="244" customWidth="1"/>
    <col min="4100" max="4100" width="9.75" style="244" customWidth="1"/>
    <col min="4101" max="4101" width="9" style="244"/>
    <col min="4102" max="4102" width="5.875" style="244" customWidth="1"/>
    <col min="4103" max="4103" width="11.5" style="244" bestFit="1" customWidth="1"/>
    <col min="4104" max="4104" width="7" style="244" customWidth="1"/>
    <col min="4105" max="4107" width="0" style="244" hidden="1" customWidth="1"/>
    <col min="4108" max="4108" width="11" style="244" customWidth="1"/>
    <col min="4109" max="4109" width="5" style="244" customWidth="1"/>
    <col min="4110" max="4110" width="6.375" style="244" customWidth="1"/>
    <col min="4111" max="4111" width="0" style="244" hidden="1" customWidth="1"/>
    <col min="4112" max="4112" width="4.25" style="244" customWidth="1"/>
    <col min="4113" max="4113" width="9.125" style="244" bestFit="1" customWidth="1"/>
    <col min="4114" max="4352" width="9" style="244"/>
    <col min="4353" max="4353" width="11.25" style="244" customWidth="1"/>
    <col min="4354" max="4354" width="9" style="244"/>
    <col min="4355" max="4355" width="4.75" style="244" customWidth="1"/>
    <col min="4356" max="4356" width="9.75" style="244" customWidth="1"/>
    <col min="4357" max="4357" width="9" style="244"/>
    <col min="4358" max="4358" width="5.875" style="244" customWidth="1"/>
    <col min="4359" max="4359" width="11.5" style="244" bestFit="1" customWidth="1"/>
    <col min="4360" max="4360" width="7" style="244" customWidth="1"/>
    <col min="4361" max="4363" width="0" style="244" hidden="1" customWidth="1"/>
    <col min="4364" max="4364" width="11" style="244" customWidth="1"/>
    <col min="4365" max="4365" width="5" style="244" customWidth="1"/>
    <col min="4366" max="4366" width="6.375" style="244" customWidth="1"/>
    <col min="4367" max="4367" width="0" style="244" hidden="1" customWidth="1"/>
    <col min="4368" max="4368" width="4.25" style="244" customWidth="1"/>
    <col min="4369" max="4369" width="9.125" style="244" bestFit="1" customWidth="1"/>
    <col min="4370" max="4608" width="9" style="244"/>
    <col min="4609" max="4609" width="11.25" style="244" customWidth="1"/>
    <col min="4610" max="4610" width="9" style="244"/>
    <col min="4611" max="4611" width="4.75" style="244" customWidth="1"/>
    <col min="4612" max="4612" width="9.75" style="244" customWidth="1"/>
    <col min="4613" max="4613" width="9" style="244"/>
    <col min="4614" max="4614" width="5.875" style="244" customWidth="1"/>
    <col min="4615" max="4615" width="11.5" style="244" bestFit="1" customWidth="1"/>
    <col min="4616" max="4616" width="7" style="244" customWidth="1"/>
    <col min="4617" max="4619" width="0" style="244" hidden="1" customWidth="1"/>
    <col min="4620" max="4620" width="11" style="244" customWidth="1"/>
    <col min="4621" max="4621" width="5" style="244" customWidth="1"/>
    <col min="4622" max="4622" width="6.375" style="244" customWidth="1"/>
    <col min="4623" max="4623" width="0" style="244" hidden="1" customWidth="1"/>
    <col min="4624" max="4624" width="4.25" style="244" customWidth="1"/>
    <col min="4625" max="4625" width="9.125" style="244" bestFit="1" customWidth="1"/>
    <col min="4626" max="4864" width="9" style="244"/>
    <col min="4865" max="4865" width="11.25" style="244" customWidth="1"/>
    <col min="4866" max="4866" width="9" style="244"/>
    <col min="4867" max="4867" width="4.75" style="244" customWidth="1"/>
    <col min="4868" max="4868" width="9.75" style="244" customWidth="1"/>
    <col min="4869" max="4869" width="9" style="244"/>
    <col min="4870" max="4870" width="5.875" style="244" customWidth="1"/>
    <col min="4871" max="4871" width="11.5" style="244" bestFit="1" customWidth="1"/>
    <col min="4872" max="4872" width="7" style="244" customWidth="1"/>
    <col min="4873" max="4875" width="0" style="244" hidden="1" customWidth="1"/>
    <col min="4876" max="4876" width="11" style="244" customWidth="1"/>
    <col min="4877" max="4877" width="5" style="244" customWidth="1"/>
    <col min="4878" max="4878" width="6.375" style="244" customWidth="1"/>
    <col min="4879" max="4879" width="0" style="244" hidden="1" customWidth="1"/>
    <col min="4880" max="4880" width="4.25" style="244" customWidth="1"/>
    <col min="4881" max="4881" width="9.125" style="244" bestFit="1" customWidth="1"/>
    <col min="4882" max="5120" width="9" style="244"/>
    <col min="5121" max="5121" width="11.25" style="244" customWidth="1"/>
    <col min="5122" max="5122" width="9" style="244"/>
    <col min="5123" max="5123" width="4.75" style="244" customWidth="1"/>
    <col min="5124" max="5124" width="9.75" style="244" customWidth="1"/>
    <col min="5125" max="5125" width="9" style="244"/>
    <col min="5126" max="5126" width="5.875" style="244" customWidth="1"/>
    <col min="5127" max="5127" width="11.5" style="244" bestFit="1" customWidth="1"/>
    <col min="5128" max="5128" width="7" style="244" customWidth="1"/>
    <col min="5129" max="5131" width="0" style="244" hidden="1" customWidth="1"/>
    <col min="5132" max="5132" width="11" style="244" customWidth="1"/>
    <col min="5133" max="5133" width="5" style="244" customWidth="1"/>
    <col min="5134" max="5134" width="6.375" style="244" customWidth="1"/>
    <col min="5135" max="5135" width="0" style="244" hidden="1" customWidth="1"/>
    <col min="5136" max="5136" width="4.25" style="244" customWidth="1"/>
    <col min="5137" max="5137" width="9.125" style="244" bestFit="1" customWidth="1"/>
    <col min="5138" max="5376" width="9" style="244"/>
    <col min="5377" max="5377" width="11.25" style="244" customWidth="1"/>
    <col min="5378" max="5378" width="9" style="244"/>
    <col min="5379" max="5379" width="4.75" style="244" customWidth="1"/>
    <col min="5380" max="5380" width="9.75" style="244" customWidth="1"/>
    <col min="5381" max="5381" width="9" style="244"/>
    <col min="5382" max="5382" width="5.875" style="244" customWidth="1"/>
    <col min="5383" max="5383" width="11.5" style="244" bestFit="1" customWidth="1"/>
    <col min="5384" max="5384" width="7" style="244" customWidth="1"/>
    <col min="5385" max="5387" width="0" style="244" hidden="1" customWidth="1"/>
    <col min="5388" max="5388" width="11" style="244" customWidth="1"/>
    <col min="5389" max="5389" width="5" style="244" customWidth="1"/>
    <col min="5390" max="5390" width="6.375" style="244" customWidth="1"/>
    <col min="5391" max="5391" width="0" style="244" hidden="1" customWidth="1"/>
    <col min="5392" max="5392" width="4.25" style="244" customWidth="1"/>
    <col min="5393" max="5393" width="9.125" style="244" bestFit="1" customWidth="1"/>
    <col min="5394" max="5632" width="9" style="244"/>
    <col min="5633" max="5633" width="11.25" style="244" customWidth="1"/>
    <col min="5634" max="5634" width="9" style="244"/>
    <col min="5635" max="5635" width="4.75" style="244" customWidth="1"/>
    <col min="5636" max="5636" width="9.75" style="244" customWidth="1"/>
    <col min="5637" max="5637" width="9" style="244"/>
    <col min="5638" max="5638" width="5.875" style="244" customWidth="1"/>
    <col min="5639" max="5639" width="11.5" style="244" bestFit="1" customWidth="1"/>
    <col min="5640" max="5640" width="7" style="244" customWidth="1"/>
    <col min="5641" max="5643" width="0" style="244" hidden="1" customWidth="1"/>
    <col min="5644" max="5644" width="11" style="244" customWidth="1"/>
    <col min="5645" max="5645" width="5" style="244" customWidth="1"/>
    <col min="5646" max="5646" width="6.375" style="244" customWidth="1"/>
    <col min="5647" max="5647" width="0" style="244" hidden="1" customWidth="1"/>
    <col min="5648" max="5648" width="4.25" style="244" customWidth="1"/>
    <col min="5649" max="5649" width="9.125" style="244" bestFit="1" customWidth="1"/>
    <col min="5650" max="5888" width="9" style="244"/>
    <col min="5889" max="5889" width="11.25" style="244" customWidth="1"/>
    <col min="5890" max="5890" width="9" style="244"/>
    <col min="5891" max="5891" width="4.75" style="244" customWidth="1"/>
    <col min="5892" max="5892" width="9.75" style="244" customWidth="1"/>
    <col min="5893" max="5893" width="9" style="244"/>
    <col min="5894" max="5894" width="5.875" style="244" customWidth="1"/>
    <col min="5895" max="5895" width="11.5" style="244" bestFit="1" customWidth="1"/>
    <col min="5896" max="5896" width="7" style="244" customWidth="1"/>
    <col min="5897" max="5899" width="0" style="244" hidden="1" customWidth="1"/>
    <col min="5900" max="5900" width="11" style="244" customWidth="1"/>
    <col min="5901" max="5901" width="5" style="244" customWidth="1"/>
    <col min="5902" max="5902" width="6.375" style="244" customWidth="1"/>
    <col min="5903" max="5903" width="0" style="244" hidden="1" customWidth="1"/>
    <col min="5904" max="5904" width="4.25" style="244" customWidth="1"/>
    <col min="5905" max="5905" width="9.125" style="244" bestFit="1" customWidth="1"/>
    <col min="5906" max="6144" width="9" style="244"/>
    <col min="6145" max="6145" width="11.25" style="244" customWidth="1"/>
    <col min="6146" max="6146" width="9" style="244"/>
    <col min="6147" max="6147" width="4.75" style="244" customWidth="1"/>
    <col min="6148" max="6148" width="9.75" style="244" customWidth="1"/>
    <col min="6149" max="6149" width="9" style="244"/>
    <col min="6150" max="6150" width="5.875" style="244" customWidth="1"/>
    <col min="6151" max="6151" width="11.5" style="244" bestFit="1" customWidth="1"/>
    <col min="6152" max="6152" width="7" style="244" customWidth="1"/>
    <col min="6153" max="6155" width="0" style="244" hidden="1" customWidth="1"/>
    <col min="6156" max="6156" width="11" style="244" customWidth="1"/>
    <col min="6157" max="6157" width="5" style="244" customWidth="1"/>
    <col min="6158" max="6158" width="6.375" style="244" customWidth="1"/>
    <col min="6159" max="6159" width="0" style="244" hidden="1" customWidth="1"/>
    <col min="6160" max="6160" width="4.25" style="244" customWidth="1"/>
    <col min="6161" max="6161" width="9.125" style="244" bestFit="1" customWidth="1"/>
    <col min="6162" max="6400" width="9" style="244"/>
    <col min="6401" max="6401" width="11.25" style="244" customWidth="1"/>
    <col min="6402" max="6402" width="9" style="244"/>
    <col min="6403" max="6403" width="4.75" style="244" customWidth="1"/>
    <col min="6404" max="6404" width="9.75" style="244" customWidth="1"/>
    <col min="6405" max="6405" width="9" style="244"/>
    <col min="6406" max="6406" width="5.875" style="244" customWidth="1"/>
    <col min="6407" max="6407" width="11.5" style="244" bestFit="1" customWidth="1"/>
    <col min="6408" max="6408" width="7" style="244" customWidth="1"/>
    <col min="6409" max="6411" width="0" style="244" hidden="1" customWidth="1"/>
    <col min="6412" max="6412" width="11" style="244" customWidth="1"/>
    <col min="6413" max="6413" width="5" style="244" customWidth="1"/>
    <col min="6414" max="6414" width="6.375" style="244" customWidth="1"/>
    <col min="6415" max="6415" width="0" style="244" hidden="1" customWidth="1"/>
    <col min="6416" max="6416" width="4.25" style="244" customWidth="1"/>
    <col min="6417" max="6417" width="9.125" style="244" bestFit="1" customWidth="1"/>
    <col min="6418" max="6656" width="9" style="244"/>
    <col min="6657" max="6657" width="11.25" style="244" customWidth="1"/>
    <col min="6658" max="6658" width="9" style="244"/>
    <col min="6659" max="6659" width="4.75" style="244" customWidth="1"/>
    <col min="6660" max="6660" width="9.75" style="244" customWidth="1"/>
    <col min="6661" max="6661" width="9" style="244"/>
    <col min="6662" max="6662" width="5.875" style="244" customWidth="1"/>
    <col min="6663" max="6663" width="11.5" style="244" bestFit="1" customWidth="1"/>
    <col min="6664" max="6664" width="7" style="244" customWidth="1"/>
    <col min="6665" max="6667" width="0" style="244" hidden="1" customWidth="1"/>
    <col min="6668" max="6668" width="11" style="244" customWidth="1"/>
    <col min="6669" max="6669" width="5" style="244" customWidth="1"/>
    <col min="6670" max="6670" width="6.375" style="244" customWidth="1"/>
    <col min="6671" max="6671" width="0" style="244" hidden="1" customWidth="1"/>
    <col min="6672" max="6672" width="4.25" style="244" customWidth="1"/>
    <col min="6673" max="6673" width="9.125" style="244" bestFit="1" customWidth="1"/>
    <col min="6674" max="6912" width="9" style="244"/>
    <col min="6913" max="6913" width="11.25" style="244" customWidth="1"/>
    <col min="6914" max="6914" width="9" style="244"/>
    <col min="6915" max="6915" width="4.75" style="244" customWidth="1"/>
    <col min="6916" max="6916" width="9.75" style="244" customWidth="1"/>
    <col min="6917" max="6917" width="9" style="244"/>
    <col min="6918" max="6918" width="5.875" style="244" customWidth="1"/>
    <col min="6919" max="6919" width="11.5" style="244" bestFit="1" customWidth="1"/>
    <col min="6920" max="6920" width="7" style="244" customWidth="1"/>
    <col min="6921" max="6923" width="0" style="244" hidden="1" customWidth="1"/>
    <col min="6924" max="6924" width="11" style="244" customWidth="1"/>
    <col min="6925" max="6925" width="5" style="244" customWidth="1"/>
    <col min="6926" max="6926" width="6.375" style="244" customWidth="1"/>
    <col min="6927" max="6927" width="0" style="244" hidden="1" customWidth="1"/>
    <col min="6928" max="6928" width="4.25" style="244" customWidth="1"/>
    <col min="6929" max="6929" width="9.125" style="244" bestFit="1" customWidth="1"/>
    <col min="6930" max="7168" width="9" style="244"/>
    <col min="7169" max="7169" width="11.25" style="244" customWidth="1"/>
    <col min="7170" max="7170" width="9" style="244"/>
    <col min="7171" max="7171" width="4.75" style="244" customWidth="1"/>
    <col min="7172" max="7172" width="9.75" style="244" customWidth="1"/>
    <col min="7173" max="7173" width="9" style="244"/>
    <col min="7174" max="7174" width="5.875" style="244" customWidth="1"/>
    <col min="7175" max="7175" width="11.5" style="244" bestFit="1" customWidth="1"/>
    <col min="7176" max="7176" width="7" style="244" customWidth="1"/>
    <col min="7177" max="7179" width="0" style="244" hidden="1" customWidth="1"/>
    <col min="7180" max="7180" width="11" style="244" customWidth="1"/>
    <col min="7181" max="7181" width="5" style="244" customWidth="1"/>
    <col min="7182" max="7182" width="6.375" style="244" customWidth="1"/>
    <col min="7183" max="7183" width="0" style="244" hidden="1" customWidth="1"/>
    <col min="7184" max="7184" width="4.25" style="244" customWidth="1"/>
    <col min="7185" max="7185" width="9.125" style="244" bestFit="1" customWidth="1"/>
    <col min="7186" max="7424" width="9" style="244"/>
    <col min="7425" max="7425" width="11.25" style="244" customWidth="1"/>
    <col min="7426" max="7426" width="9" style="244"/>
    <col min="7427" max="7427" width="4.75" style="244" customWidth="1"/>
    <col min="7428" max="7428" width="9.75" style="244" customWidth="1"/>
    <col min="7429" max="7429" width="9" style="244"/>
    <col min="7430" max="7430" width="5.875" style="244" customWidth="1"/>
    <col min="7431" max="7431" width="11.5" style="244" bestFit="1" customWidth="1"/>
    <col min="7432" max="7432" width="7" style="244" customWidth="1"/>
    <col min="7433" max="7435" width="0" style="244" hidden="1" customWidth="1"/>
    <col min="7436" max="7436" width="11" style="244" customWidth="1"/>
    <col min="7437" max="7437" width="5" style="244" customWidth="1"/>
    <col min="7438" max="7438" width="6.375" style="244" customWidth="1"/>
    <col min="7439" max="7439" width="0" style="244" hidden="1" customWidth="1"/>
    <col min="7440" max="7440" width="4.25" style="244" customWidth="1"/>
    <col min="7441" max="7441" width="9.125" style="244" bestFit="1" customWidth="1"/>
    <col min="7442" max="7680" width="9" style="244"/>
    <col min="7681" max="7681" width="11.25" style="244" customWidth="1"/>
    <col min="7682" max="7682" width="9" style="244"/>
    <col min="7683" max="7683" width="4.75" style="244" customWidth="1"/>
    <col min="7684" max="7684" width="9.75" style="244" customWidth="1"/>
    <col min="7685" max="7685" width="9" style="244"/>
    <col min="7686" max="7686" width="5.875" style="244" customWidth="1"/>
    <col min="7687" max="7687" width="11.5" style="244" bestFit="1" customWidth="1"/>
    <col min="7688" max="7688" width="7" style="244" customWidth="1"/>
    <col min="7689" max="7691" width="0" style="244" hidden="1" customWidth="1"/>
    <col min="7692" max="7692" width="11" style="244" customWidth="1"/>
    <col min="7693" max="7693" width="5" style="244" customWidth="1"/>
    <col min="7694" max="7694" width="6.375" style="244" customWidth="1"/>
    <col min="7695" max="7695" width="0" style="244" hidden="1" customWidth="1"/>
    <col min="7696" max="7696" width="4.25" style="244" customWidth="1"/>
    <col min="7697" max="7697" width="9.125" style="244" bestFit="1" customWidth="1"/>
    <col min="7698" max="7936" width="9" style="244"/>
    <col min="7937" max="7937" width="11.25" style="244" customWidth="1"/>
    <col min="7938" max="7938" width="9" style="244"/>
    <col min="7939" max="7939" width="4.75" style="244" customWidth="1"/>
    <col min="7940" max="7940" width="9.75" style="244" customWidth="1"/>
    <col min="7941" max="7941" width="9" style="244"/>
    <col min="7942" max="7942" width="5.875" style="244" customWidth="1"/>
    <col min="7943" max="7943" width="11.5" style="244" bestFit="1" customWidth="1"/>
    <col min="7944" max="7944" width="7" style="244" customWidth="1"/>
    <col min="7945" max="7947" width="0" style="244" hidden="1" customWidth="1"/>
    <col min="7948" max="7948" width="11" style="244" customWidth="1"/>
    <col min="7949" max="7949" width="5" style="244" customWidth="1"/>
    <col min="7950" max="7950" width="6.375" style="244" customWidth="1"/>
    <col min="7951" max="7951" width="0" style="244" hidden="1" customWidth="1"/>
    <col min="7952" max="7952" width="4.25" style="244" customWidth="1"/>
    <col min="7953" max="7953" width="9.125" style="244" bestFit="1" customWidth="1"/>
    <col min="7954" max="8192" width="9" style="244"/>
    <col min="8193" max="8193" width="11.25" style="244" customWidth="1"/>
    <col min="8194" max="8194" width="9" style="244"/>
    <col min="8195" max="8195" width="4.75" style="244" customWidth="1"/>
    <col min="8196" max="8196" width="9.75" style="244" customWidth="1"/>
    <col min="8197" max="8197" width="9" style="244"/>
    <col min="8198" max="8198" width="5.875" style="244" customWidth="1"/>
    <col min="8199" max="8199" width="11.5" style="244" bestFit="1" customWidth="1"/>
    <col min="8200" max="8200" width="7" style="244" customWidth="1"/>
    <col min="8201" max="8203" width="0" style="244" hidden="1" customWidth="1"/>
    <col min="8204" max="8204" width="11" style="244" customWidth="1"/>
    <col min="8205" max="8205" width="5" style="244" customWidth="1"/>
    <col min="8206" max="8206" width="6.375" style="244" customWidth="1"/>
    <col min="8207" max="8207" width="0" style="244" hidden="1" customWidth="1"/>
    <col min="8208" max="8208" width="4.25" style="244" customWidth="1"/>
    <col min="8209" max="8209" width="9.125" style="244" bestFit="1" customWidth="1"/>
    <col min="8210" max="8448" width="9" style="244"/>
    <col min="8449" max="8449" width="11.25" style="244" customWidth="1"/>
    <col min="8450" max="8450" width="9" style="244"/>
    <col min="8451" max="8451" width="4.75" style="244" customWidth="1"/>
    <col min="8452" max="8452" width="9.75" style="244" customWidth="1"/>
    <col min="8453" max="8453" width="9" style="244"/>
    <col min="8454" max="8454" width="5.875" style="244" customWidth="1"/>
    <col min="8455" max="8455" width="11.5" style="244" bestFit="1" customWidth="1"/>
    <col min="8456" max="8456" width="7" style="244" customWidth="1"/>
    <col min="8457" max="8459" width="0" style="244" hidden="1" customWidth="1"/>
    <col min="8460" max="8460" width="11" style="244" customWidth="1"/>
    <col min="8461" max="8461" width="5" style="244" customWidth="1"/>
    <col min="8462" max="8462" width="6.375" style="244" customWidth="1"/>
    <col min="8463" max="8463" width="0" style="244" hidden="1" customWidth="1"/>
    <col min="8464" max="8464" width="4.25" style="244" customWidth="1"/>
    <col min="8465" max="8465" width="9.125" style="244" bestFit="1" customWidth="1"/>
    <col min="8466" max="8704" width="9" style="244"/>
    <col min="8705" max="8705" width="11.25" style="244" customWidth="1"/>
    <col min="8706" max="8706" width="9" style="244"/>
    <col min="8707" max="8707" width="4.75" style="244" customWidth="1"/>
    <col min="8708" max="8708" width="9.75" style="244" customWidth="1"/>
    <col min="8709" max="8709" width="9" style="244"/>
    <col min="8710" max="8710" width="5.875" style="244" customWidth="1"/>
    <col min="8711" max="8711" width="11.5" style="244" bestFit="1" customWidth="1"/>
    <col min="8712" max="8712" width="7" style="244" customWidth="1"/>
    <col min="8713" max="8715" width="0" style="244" hidden="1" customWidth="1"/>
    <col min="8716" max="8716" width="11" style="244" customWidth="1"/>
    <col min="8717" max="8717" width="5" style="244" customWidth="1"/>
    <col min="8718" max="8718" width="6.375" style="244" customWidth="1"/>
    <col min="8719" max="8719" width="0" style="244" hidden="1" customWidth="1"/>
    <col min="8720" max="8720" width="4.25" style="244" customWidth="1"/>
    <col min="8721" max="8721" width="9.125" style="244" bestFit="1" customWidth="1"/>
    <col min="8722" max="8960" width="9" style="244"/>
    <col min="8961" max="8961" width="11.25" style="244" customWidth="1"/>
    <col min="8962" max="8962" width="9" style="244"/>
    <col min="8963" max="8963" width="4.75" style="244" customWidth="1"/>
    <col min="8964" max="8964" width="9.75" style="244" customWidth="1"/>
    <col min="8965" max="8965" width="9" style="244"/>
    <col min="8966" max="8966" width="5.875" style="244" customWidth="1"/>
    <col min="8967" max="8967" width="11.5" style="244" bestFit="1" customWidth="1"/>
    <col min="8968" max="8968" width="7" style="244" customWidth="1"/>
    <col min="8969" max="8971" width="0" style="244" hidden="1" customWidth="1"/>
    <col min="8972" max="8972" width="11" style="244" customWidth="1"/>
    <col min="8973" max="8973" width="5" style="244" customWidth="1"/>
    <col min="8974" max="8974" width="6.375" style="244" customWidth="1"/>
    <col min="8975" max="8975" width="0" style="244" hidden="1" customWidth="1"/>
    <col min="8976" max="8976" width="4.25" style="244" customWidth="1"/>
    <col min="8977" max="8977" width="9.125" style="244" bestFit="1" customWidth="1"/>
    <col min="8978" max="9216" width="9" style="244"/>
    <col min="9217" max="9217" width="11.25" style="244" customWidth="1"/>
    <col min="9218" max="9218" width="9" style="244"/>
    <col min="9219" max="9219" width="4.75" style="244" customWidth="1"/>
    <col min="9220" max="9220" width="9.75" style="244" customWidth="1"/>
    <col min="9221" max="9221" width="9" style="244"/>
    <col min="9222" max="9222" width="5.875" style="244" customWidth="1"/>
    <col min="9223" max="9223" width="11.5" style="244" bestFit="1" customWidth="1"/>
    <col min="9224" max="9224" width="7" style="244" customWidth="1"/>
    <col min="9225" max="9227" width="0" style="244" hidden="1" customWidth="1"/>
    <col min="9228" max="9228" width="11" style="244" customWidth="1"/>
    <col min="9229" max="9229" width="5" style="244" customWidth="1"/>
    <col min="9230" max="9230" width="6.375" style="244" customWidth="1"/>
    <col min="9231" max="9231" width="0" style="244" hidden="1" customWidth="1"/>
    <col min="9232" max="9232" width="4.25" style="244" customWidth="1"/>
    <col min="9233" max="9233" width="9.125" style="244" bestFit="1" customWidth="1"/>
    <col min="9234" max="9472" width="9" style="244"/>
    <col min="9473" max="9473" width="11.25" style="244" customWidth="1"/>
    <col min="9474" max="9474" width="9" style="244"/>
    <col min="9475" max="9475" width="4.75" style="244" customWidth="1"/>
    <col min="9476" max="9476" width="9.75" style="244" customWidth="1"/>
    <col min="9477" max="9477" width="9" style="244"/>
    <col min="9478" max="9478" width="5.875" style="244" customWidth="1"/>
    <col min="9479" max="9479" width="11.5" style="244" bestFit="1" customWidth="1"/>
    <col min="9480" max="9480" width="7" style="244" customWidth="1"/>
    <col min="9481" max="9483" width="0" style="244" hidden="1" customWidth="1"/>
    <col min="9484" max="9484" width="11" style="244" customWidth="1"/>
    <col min="9485" max="9485" width="5" style="244" customWidth="1"/>
    <col min="9486" max="9486" width="6.375" style="244" customWidth="1"/>
    <col min="9487" max="9487" width="0" style="244" hidden="1" customWidth="1"/>
    <col min="9488" max="9488" width="4.25" style="244" customWidth="1"/>
    <col min="9489" max="9489" width="9.125" style="244" bestFit="1" customWidth="1"/>
    <col min="9490" max="9728" width="9" style="244"/>
    <col min="9729" max="9729" width="11.25" style="244" customWidth="1"/>
    <col min="9730" max="9730" width="9" style="244"/>
    <col min="9731" max="9731" width="4.75" style="244" customWidth="1"/>
    <col min="9732" max="9732" width="9.75" style="244" customWidth="1"/>
    <col min="9733" max="9733" width="9" style="244"/>
    <col min="9734" max="9734" width="5.875" style="244" customWidth="1"/>
    <col min="9735" max="9735" width="11.5" style="244" bestFit="1" customWidth="1"/>
    <col min="9736" max="9736" width="7" style="244" customWidth="1"/>
    <col min="9737" max="9739" width="0" style="244" hidden="1" customWidth="1"/>
    <col min="9740" max="9740" width="11" style="244" customWidth="1"/>
    <col min="9741" max="9741" width="5" style="244" customWidth="1"/>
    <col min="9742" max="9742" width="6.375" style="244" customWidth="1"/>
    <col min="9743" max="9743" width="0" style="244" hidden="1" customWidth="1"/>
    <col min="9744" max="9744" width="4.25" style="244" customWidth="1"/>
    <col min="9745" max="9745" width="9.125" style="244" bestFit="1" customWidth="1"/>
    <col min="9746" max="9984" width="9" style="244"/>
    <col min="9985" max="9985" width="11.25" style="244" customWidth="1"/>
    <col min="9986" max="9986" width="9" style="244"/>
    <col min="9987" max="9987" width="4.75" style="244" customWidth="1"/>
    <col min="9988" max="9988" width="9.75" style="244" customWidth="1"/>
    <col min="9989" max="9989" width="9" style="244"/>
    <col min="9990" max="9990" width="5.875" style="244" customWidth="1"/>
    <col min="9991" max="9991" width="11.5" style="244" bestFit="1" customWidth="1"/>
    <col min="9992" max="9992" width="7" style="244" customWidth="1"/>
    <col min="9993" max="9995" width="0" style="244" hidden="1" customWidth="1"/>
    <col min="9996" max="9996" width="11" style="244" customWidth="1"/>
    <col min="9997" max="9997" width="5" style="244" customWidth="1"/>
    <col min="9998" max="9998" width="6.375" style="244" customWidth="1"/>
    <col min="9999" max="9999" width="0" style="244" hidden="1" customWidth="1"/>
    <col min="10000" max="10000" width="4.25" style="244" customWidth="1"/>
    <col min="10001" max="10001" width="9.125" style="244" bestFit="1" customWidth="1"/>
    <col min="10002" max="10240" width="9" style="244"/>
    <col min="10241" max="10241" width="11.25" style="244" customWidth="1"/>
    <col min="10242" max="10242" width="9" style="244"/>
    <col min="10243" max="10243" width="4.75" style="244" customWidth="1"/>
    <col min="10244" max="10244" width="9.75" style="244" customWidth="1"/>
    <col min="10245" max="10245" width="9" style="244"/>
    <col min="10246" max="10246" width="5.875" style="244" customWidth="1"/>
    <col min="10247" max="10247" width="11.5" style="244" bestFit="1" customWidth="1"/>
    <col min="10248" max="10248" width="7" style="244" customWidth="1"/>
    <col min="10249" max="10251" width="0" style="244" hidden="1" customWidth="1"/>
    <col min="10252" max="10252" width="11" style="244" customWidth="1"/>
    <col min="10253" max="10253" width="5" style="244" customWidth="1"/>
    <col min="10254" max="10254" width="6.375" style="244" customWidth="1"/>
    <col min="10255" max="10255" width="0" style="244" hidden="1" customWidth="1"/>
    <col min="10256" max="10256" width="4.25" style="244" customWidth="1"/>
    <col min="10257" max="10257" width="9.125" style="244" bestFit="1" customWidth="1"/>
    <col min="10258" max="10496" width="9" style="244"/>
    <col min="10497" max="10497" width="11.25" style="244" customWidth="1"/>
    <col min="10498" max="10498" width="9" style="244"/>
    <col min="10499" max="10499" width="4.75" style="244" customWidth="1"/>
    <col min="10500" max="10500" width="9.75" style="244" customWidth="1"/>
    <col min="10501" max="10501" width="9" style="244"/>
    <col min="10502" max="10502" width="5.875" style="244" customWidth="1"/>
    <col min="10503" max="10503" width="11.5" style="244" bestFit="1" customWidth="1"/>
    <col min="10504" max="10504" width="7" style="244" customWidth="1"/>
    <col min="10505" max="10507" width="0" style="244" hidden="1" customWidth="1"/>
    <col min="10508" max="10508" width="11" style="244" customWidth="1"/>
    <col min="10509" max="10509" width="5" style="244" customWidth="1"/>
    <col min="10510" max="10510" width="6.375" style="244" customWidth="1"/>
    <col min="10511" max="10511" width="0" style="244" hidden="1" customWidth="1"/>
    <col min="10512" max="10512" width="4.25" style="244" customWidth="1"/>
    <col min="10513" max="10513" width="9.125" style="244" bestFit="1" customWidth="1"/>
    <col min="10514" max="10752" width="9" style="244"/>
    <col min="10753" max="10753" width="11.25" style="244" customWidth="1"/>
    <col min="10754" max="10754" width="9" style="244"/>
    <col min="10755" max="10755" width="4.75" style="244" customWidth="1"/>
    <col min="10756" max="10756" width="9.75" style="244" customWidth="1"/>
    <col min="10757" max="10757" width="9" style="244"/>
    <col min="10758" max="10758" width="5.875" style="244" customWidth="1"/>
    <col min="10759" max="10759" width="11.5" style="244" bestFit="1" customWidth="1"/>
    <col min="10760" max="10760" width="7" style="244" customWidth="1"/>
    <col min="10761" max="10763" width="0" style="244" hidden="1" customWidth="1"/>
    <col min="10764" max="10764" width="11" style="244" customWidth="1"/>
    <col min="10765" max="10765" width="5" style="244" customWidth="1"/>
    <col min="10766" max="10766" width="6.375" style="244" customWidth="1"/>
    <col min="10767" max="10767" width="0" style="244" hidden="1" customWidth="1"/>
    <col min="10768" max="10768" width="4.25" style="244" customWidth="1"/>
    <col min="10769" max="10769" width="9.125" style="244" bestFit="1" customWidth="1"/>
    <col min="10770" max="11008" width="9" style="244"/>
    <col min="11009" max="11009" width="11.25" style="244" customWidth="1"/>
    <col min="11010" max="11010" width="9" style="244"/>
    <col min="11011" max="11011" width="4.75" style="244" customWidth="1"/>
    <col min="11012" max="11012" width="9.75" style="244" customWidth="1"/>
    <col min="11013" max="11013" width="9" style="244"/>
    <col min="11014" max="11014" width="5.875" style="244" customWidth="1"/>
    <col min="11015" max="11015" width="11.5" style="244" bestFit="1" customWidth="1"/>
    <col min="11016" max="11016" width="7" style="244" customWidth="1"/>
    <col min="11017" max="11019" width="0" style="244" hidden="1" customWidth="1"/>
    <col min="11020" max="11020" width="11" style="244" customWidth="1"/>
    <col min="11021" max="11021" width="5" style="244" customWidth="1"/>
    <col min="11022" max="11022" width="6.375" style="244" customWidth="1"/>
    <col min="11023" max="11023" width="0" style="244" hidden="1" customWidth="1"/>
    <col min="11024" max="11024" width="4.25" style="244" customWidth="1"/>
    <col min="11025" max="11025" width="9.125" style="244" bestFit="1" customWidth="1"/>
    <col min="11026" max="11264" width="9" style="244"/>
    <col min="11265" max="11265" width="11.25" style="244" customWidth="1"/>
    <col min="11266" max="11266" width="9" style="244"/>
    <col min="11267" max="11267" width="4.75" style="244" customWidth="1"/>
    <col min="11268" max="11268" width="9.75" style="244" customWidth="1"/>
    <col min="11269" max="11269" width="9" style="244"/>
    <col min="11270" max="11270" width="5.875" style="244" customWidth="1"/>
    <col min="11271" max="11271" width="11.5" style="244" bestFit="1" customWidth="1"/>
    <col min="11272" max="11272" width="7" style="244" customWidth="1"/>
    <col min="11273" max="11275" width="0" style="244" hidden="1" customWidth="1"/>
    <col min="11276" max="11276" width="11" style="244" customWidth="1"/>
    <col min="11277" max="11277" width="5" style="244" customWidth="1"/>
    <col min="11278" max="11278" width="6.375" style="244" customWidth="1"/>
    <col min="11279" max="11279" width="0" style="244" hidden="1" customWidth="1"/>
    <col min="11280" max="11280" width="4.25" style="244" customWidth="1"/>
    <col min="11281" max="11281" width="9.125" style="244" bestFit="1" customWidth="1"/>
    <col min="11282" max="11520" width="9" style="244"/>
    <col min="11521" max="11521" width="11.25" style="244" customWidth="1"/>
    <col min="11522" max="11522" width="9" style="244"/>
    <col min="11523" max="11523" width="4.75" style="244" customWidth="1"/>
    <col min="11524" max="11524" width="9.75" style="244" customWidth="1"/>
    <col min="11525" max="11525" width="9" style="244"/>
    <col min="11526" max="11526" width="5.875" style="244" customWidth="1"/>
    <col min="11527" max="11527" width="11.5" style="244" bestFit="1" customWidth="1"/>
    <col min="11528" max="11528" width="7" style="244" customWidth="1"/>
    <col min="11529" max="11531" width="0" style="244" hidden="1" customWidth="1"/>
    <col min="11532" max="11532" width="11" style="244" customWidth="1"/>
    <col min="11533" max="11533" width="5" style="244" customWidth="1"/>
    <col min="11534" max="11534" width="6.375" style="244" customWidth="1"/>
    <col min="11535" max="11535" width="0" style="244" hidden="1" customWidth="1"/>
    <col min="11536" max="11536" width="4.25" style="244" customWidth="1"/>
    <col min="11537" max="11537" width="9.125" style="244" bestFit="1" customWidth="1"/>
    <col min="11538" max="11776" width="9" style="244"/>
    <col min="11777" max="11777" width="11.25" style="244" customWidth="1"/>
    <col min="11778" max="11778" width="9" style="244"/>
    <col min="11779" max="11779" width="4.75" style="244" customWidth="1"/>
    <col min="11780" max="11780" width="9.75" style="244" customWidth="1"/>
    <col min="11781" max="11781" width="9" style="244"/>
    <col min="11782" max="11782" width="5.875" style="244" customWidth="1"/>
    <col min="11783" max="11783" width="11.5" style="244" bestFit="1" customWidth="1"/>
    <col min="11784" max="11784" width="7" style="244" customWidth="1"/>
    <col min="11785" max="11787" width="0" style="244" hidden="1" customWidth="1"/>
    <col min="11788" max="11788" width="11" style="244" customWidth="1"/>
    <col min="11789" max="11789" width="5" style="244" customWidth="1"/>
    <col min="11790" max="11790" width="6.375" style="244" customWidth="1"/>
    <col min="11791" max="11791" width="0" style="244" hidden="1" customWidth="1"/>
    <col min="11792" max="11792" width="4.25" style="244" customWidth="1"/>
    <col min="11793" max="11793" width="9.125" style="244" bestFit="1" customWidth="1"/>
    <col min="11794" max="12032" width="9" style="244"/>
    <col min="12033" max="12033" width="11.25" style="244" customWidth="1"/>
    <col min="12034" max="12034" width="9" style="244"/>
    <col min="12035" max="12035" width="4.75" style="244" customWidth="1"/>
    <col min="12036" max="12036" width="9.75" style="244" customWidth="1"/>
    <col min="12037" max="12037" width="9" style="244"/>
    <col min="12038" max="12038" width="5.875" style="244" customWidth="1"/>
    <col min="12039" max="12039" width="11.5" style="244" bestFit="1" customWidth="1"/>
    <col min="12040" max="12040" width="7" style="244" customWidth="1"/>
    <col min="12041" max="12043" width="0" style="244" hidden="1" customWidth="1"/>
    <col min="12044" max="12044" width="11" style="244" customWidth="1"/>
    <col min="12045" max="12045" width="5" style="244" customWidth="1"/>
    <col min="12046" max="12046" width="6.375" style="244" customWidth="1"/>
    <col min="12047" max="12047" width="0" style="244" hidden="1" customWidth="1"/>
    <col min="12048" max="12048" width="4.25" style="244" customWidth="1"/>
    <col min="12049" max="12049" width="9.125" style="244" bestFit="1" customWidth="1"/>
    <col min="12050" max="12288" width="9" style="244"/>
    <col min="12289" max="12289" width="11.25" style="244" customWidth="1"/>
    <col min="12290" max="12290" width="9" style="244"/>
    <col min="12291" max="12291" width="4.75" style="244" customWidth="1"/>
    <col min="12292" max="12292" width="9.75" style="244" customWidth="1"/>
    <col min="12293" max="12293" width="9" style="244"/>
    <col min="12294" max="12294" width="5.875" style="244" customWidth="1"/>
    <col min="12295" max="12295" width="11.5" style="244" bestFit="1" customWidth="1"/>
    <col min="12296" max="12296" width="7" style="244" customWidth="1"/>
    <col min="12297" max="12299" width="0" style="244" hidden="1" customWidth="1"/>
    <col min="12300" max="12300" width="11" style="244" customWidth="1"/>
    <col min="12301" max="12301" width="5" style="244" customWidth="1"/>
    <col min="12302" max="12302" width="6.375" style="244" customWidth="1"/>
    <col min="12303" max="12303" width="0" style="244" hidden="1" customWidth="1"/>
    <col min="12304" max="12304" width="4.25" style="244" customWidth="1"/>
    <col min="12305" max="12305" width="9.125" style="244" bestFit="1" customWidth="1"/>
    <col min="12306" max="12544" width="9" style="244"/>
    <col min="12545" max="12545" width="11.25" style="244" customWidth="1"/>
    <col min="12546" max="12546" width="9" style="244"/>
    <col min="12547" max="12547" width="4.75" style="244" customWidth="1"/>
    <col min="12548" max="12548" width="9.75" style="244" customWidth="1"/>
    <col min="12549" max="12549" width="9" style="244"/>
    <col min="12550" max="12550" width="5.875" style="244" customWidth="1"/>
    <col min="12551" max="12551" width="11.5" style="244" bestFit="1" customWidth="1"/>
    <col min="12552" max="12552" width="7" style="244" customWidth="1"/>
    <col min="12553" max="12555" width="0" style="244" hidden="1" customWidth="1"/>
    <col min="12556" max="12556" width="11" style="244" customWidth="1"/>
    <col min="12557" max="12557" width="5" style="244" customWidth="1"/>
    <col min="12558" max="12558" width="6.375" style="244" customWidth="1"/>
    <col min="12559" max="12559" width="0" style="244" hidden="1" customWidth="1"/>
    <col min="12560" max="12560" width="4.25" style="244" customWidth="1"/>
    <col min="12561" max="12561" width="9.125" style="244" bestFit="1" customWidth="1"/>
    <col min="12562" max="12800" width="9" style="244"/>
    <col min="12801" max="12801" width="11.25" style="244" customWidth="1"/>
    <col min="12802" max="12802" width="9" style="244"/>
    <col min="12803" max="12803" width="4.75" style="244" customWidth="1"/>
    <col min="12804" max="12804" width="9.75" style="244" customWidth="1"/>
    <col min="12805" max="12805" width="9" style="244"/>
    <col min="12806" max="12806" width="5.875" style="244" customWidth="1"/>
    <col min="12807" max="12807" width="11.5" style="244" bestFit="1" customWidth="1"/>
    <col min="12808" max="12808" width="7" style="244" customWidth="1"/>
    <col min="12809" max="12811" width="0" style="244" hidden="1" customWidth="1"/>
    <col min="12812" max="12812" width="11" style="244" customWidth="1"/>
    <col min="12813" max="12813" width="5" style="244" customWidth="1"/>
    <col min="12814" max="12814" width="6.375" style="244" customWidth="1"/>
    <col min="12815" max="12815" width="0" style="244" hidden="1" customWidth="1"/>
    <col min="12816" max="12816" width="4.25" style="244" customWidth="1"/>
    <col min="12817" max="12817" width="9.125" style="244" bestFit="1" customWidth="1"/>
    <col min="12818" max="13056" width="9" style="244"/>
    <col min="13057" max="13057" width="11.25" style="244" customWidth="1"/>
    <col min="13058" max="13058" width="9" style="244"/>
    <col min="13059" max="13059" width="4.75" style="244" customWidth="1"/>
    <col min="13060" max="13060" width="9.75" style="244" customWidth="1"/>
    <col min="13061" max="13061" width="9" style="244"/>
    <col min="13062" max="13062" width="5.875" style="244" customWidth="1"/>
    <col min="13063" max="13063" width="11.5" style="244" bestFit="1" customWidth="1"/>
    <col min="13064" max="13064" width="7" style="244" customWidth="1"/>
    <col min="13065" max="13067" width="0" style="244" hidden="1" customWidth="1"/>
    <col min="13068" max="13068" width="11" style="244" customWidth="1"/>
    <col min="13069" max="13069" width="5" style="244" customWidth="1"/>
    <col min="13070" max="13070" width="6.375" style="244" customWidth="1"/>
    <col min="13071" max="13071" width="0" style="244" hidden="1" customWidth="1"/>
    <col min="13072" max="13072" width="4.25" style="244" customWidth="1"/>
    <col min="13073" max="13073" width="9.125" style="244" bestFit="1" customWidth="1"/>
    <col min="13074" max="13312" width="9" style="244"/>
    <col min="13313" max="13313" width="11.25" style="244" customWidth="1"/>
    <col min="13314" max="13314" width="9" style="244"/>
    <col min="13315" max="13315" width="4.75" style="244" customWidth="1"/>
    <col min="13316" max="13316" width="9.75" style="244" customWidth="1"/>
    <col min="13317" max="13317" width="9" style="244"/>
    <col min="13318" max="13318" width="5.875" style="244" customWidth="1"/>
    <col min="13319" max="13319" width="11.5" style="244" bestFit="1" customWidth="1"/>
    <col min="13320" max="13320" width="7" style="244" customWidth="1"/>
    <col min="13321" max="13323" width="0" style="244" hidden="1" customWidth="1"/>
    <col min="13324" max="13324" width="11" style="244" customWidth="1"/>
    <col min="13325" max="13325" width="5" style="244" customWidth="1"/>
    <col min="13326" max="13326" width="6.375" style="244" customWidth="1"/>
    <col min="13327" max="13327" width="0" style="244" hidden="1" customWidth="1"/>
    <col min="13328" max="13328" width="4.25" style="244" customWidth="1"/>
    <col min="13329" max="13329" width="9.125" style="244" bestFit="1" customWidth="1"/>
    <col min="13330" max="13568" width="9" style="244"/>
    <col min="13569" max="13569" width="11.25" style="244" customWidth="1"/>
    <col min="13570" max="13570" width="9" style="244"/>
    <col min="13571" max="13571" width="4.75" style="244" customWidth="1"/>
    <col min="13572" max="13572" width="9.75" style="244" customWidth="1"/>
    <col min="13573" max="13573" width="9" style="244"/>
    <col min="13574" max="13574" width="5.875" style="244" customWidth="1"/>
    <col min="13575" max="13575" width="11.5" style="244" bestFit="1" customWidth="1"/>
    <col min="13576" max="13576" width="7" style="244" customWidth="1"/>
    <col min="13577" max="13579" width="0" style="244" hidden="1" customWidth="1"/>
    <col min="13580" max="13580" width="11" style="244" customWidth="1"/>
    <col min="13581" max="13581" width="5" style="244" customWidth="1"/>
    <col min="13582" max="13582" width="6.375" style="244" customWidth="1"/>
    <col min="13583" max="13583" width="0" style="244" hidden="1" customWidth="1"/>
    <col min="13584" max="13584" width="4.25" style="244" customWidth="1"/>
    <col min="13585" max="13585" width="9.125" style="244" bestFit="1" customWidth="1"/>
    <col min="13586" max="13824" width="9" style="244"/>
    <col min="13825" max="13825" width="11.25" style="244" customWidth="1"/>
    <col min="13826" max="13826" width="9" style="244"/>
    <col min="13827" max="13827" width="4.75" style="244" customWidth="1"/>
    <col min="13828" max="13828" width="9.75" style="244" customWidth="1"/>
    <col min="13829" max="13829" width="9" style="244"/>
    <col min="13830" max="13830" width="5.875" style="244" customWidth="1"/>
    <col min="13831" max="13831" width="11.5" style="244" bestFit="1" customWidth="1"/>
    <col min="13832" max="13832" width="7" style="244" customWidth="1"/>
    <col min="13833" max="13835" width="0" style="244" hidden="1" customWidth="1"/>
    <col min="13836" max="13836" width="11" style="244" customWidth="1"/>
    <col min="13837" max="13837" width="5" style="244" customWidth="1"/>
    <col min="13838" max="13838" width="6.375" style="244" customWidth="1"/>
    <col min="13839" max="13839" width="0" style="244" hidden="1" customWidth="1"/>
    <col min="13840" max="13840" width="4.25" style="244" customWidth="1"/>
    <col min="13841" max="13841" width="9.125" style="244" bestFit="1" customWidth="1"/>
    <col min="13842" max="14080" width="9" style="244"/>
    <col min="14081" max="14081" width="11.25" style="244" customWidth="1"/>
    <col min="14082" max="14082" width="9" style="244"/>
    <col min="14083" max="14083" width="4.75" style="244" customWidth="1"/>
    <col min="14084" max="14084" width="9.75" style="244" customWidth="1"/>
    <col min="14085" max="14085" width="9" style="244"/>
    <col min="14086" max="14086" width="5.875" style="244" customWidth="1"/>
    <col min="14087" max="14087" width="11.5" style="244" bestFit="1" customWidth="1"/>
    <col min="14088" max="14088" width="7" style="244" customWidth="1"/>
    <col min="14089" max="14091" width="0" style="244" hidden="1" customWidth="1"/>
    <col min="14092" max="14092" width="11" style="244" customWidth="1"/>
    <col min="14093" max="14093" width="5" style="244" customWidth="1"/>
    <col min="14094" max="14094" width="6.375" style="244" customWidth="1"/>
    <col min="14095" max="14095" width="0" style="244" hidden="1" customWidth="1"/>
    <col min="14096" max="14096" width="4.25" style="244" customWidth="1"/>
    <col min="14097" max="14097" width="9.125" style="244" bestFit="1" customWidth="1"/>
    <col min="14098" max="14336" width="9" style="244"/>
    <col min="14337" max="14337" width="11.25" style="244" customWidth="1"/>
    <col min="14338" max="14338" width="9" style="244"/>
    <col min="14339" max="14339" width="4.75" style="244" customWidth="1"/>
    <col min="14340" max="14340" width="9.75" style="244" customWidth="1"/>
    <col min="14341" max="14341" width="9" style="244"/>
    <col min="14342" max="14342" width="5.875" style="244" customWidth="1"/>
    <col min="14343" max="14343" width="11.5" style="244" bestFit="1" customWidth="1"/>
    <col min="14344" max="14344" width="7" style="244" customWidth="1"/>
    <col min="14345" max="14347" width="0" style="244" hidden="1" customWidth="1"/>
    <col min="14348" max="14348" width="11" style="244" customWidth="1"/>
    <col min="14349" max="14349" width="5" style="244" customWidth="1"/>
    <col min="14350" max="14350" width="6.375" style="244" customWidth="1"/>
    <col min="14351" max="14351" width="0" style="244" hidden="1" customWidth="1"/>
    <col min="14352" max="14352" width="4.25" style="244" customWidth="1"/>
    <col min="14353" max="14353" width="9.125" style="244" bestFit="1" customWidth="1"/>
    <col min="14354" max="14592" width="9" style="244"/>
    <col min="14593" max="14593" width="11.25" style="244" customWidth="1"/>
    <col min="14594" max="14594" width="9" style="244"/>
    <col min="14595" max="14595" width="4.75" style="244" customWidth="1"/>
    <col min="14596" max="14596" width="9.75" style="244" customWidth="1"/>
    <col min="14597" max="14597" width="9" style="244"/>
    <col min="14598" max="14598" width="5.875" style="244" customWidth="1"/>
    <col min="14599" max="14599" width="11.5" style="244" bestFit="1" customWidth="1"/>
    <col min="14600" max="14600" width="7" style="244" customWidth="1"/>
    <col min="14601" max="14603" width="0" style="244" hidden="1" customWidth="1"/>
    <col min="14604" max="14604" width="11" style="244" customWidth="1"/>
    <col min="14605" max="14605" width="5" style="244" customWidth="1"/>
    <col min="14606" max="14606" width="6.375" style="244" customWidth="1"/>
    <col min="14607" max="14607" width="0" style="244" hidden="1" customWidth="1"/>
    <col min="14608" max="14608" width="4.25" style="244" customWidth="1"/>
    <col min="14609" max="14609" width="9.125" style="244" bestFit="1" customWidth="1"/>
    <col min="14610" max="14848" width="9" style="244"/>
    <col min="14849" max="14849" width="11.25" style="244" customWidth="1"/>
    <col min="14850" max="14850" width="9" style="244"/>
    <col min="14851" max="14851" width="4.75" style="244" customWidth="1"/>
    <col min="14852" max="14852" width="9.75" style="244" customWidth="1"/>
    <col min="14853" max="14853" width="9" style="244"/>
    <col min="14854" max="14854" width="5.875" style="244" customWidth="1"/>
    <col min="14855" max="14855" width="11.5" style="244" bestFit="1" customWidth="1"/>
    <col min="14856" max="14856" width="7" style="244" customWidth="1"/>
    <col min="14857" max="14859" width="0" style="244" hidden="1" customWidth="1"/>
    <col min="14860" max="14860" width="11" style="244" customWidth="1"/>
    <col min="14861" max="14861" width="5" style="244" customWidth="1"/>
    <col min="14862" max="14862" width="6.375" style="244" customWidth="1"/>
    <col min="14863" max="14863" width="0" style="244" hidden="1" customWidth="1"/>
    <col min="14864" max="14864" width="4.25" style="244" customWidth="1"/>
    <col min="14865" max="14865" width="9.125" style="244" bestFit="1" customWidth="1"/>
    <col min="14866" max="15104" width="9" style="244"/>
    <col min="15105" max="15105" width="11.25" style="244" customWidth="1"/>
    <col min="15106" max="15106" width="9" style="244"/>
    <col min="15107" max="15107" width="4.75" style="244" customWidth="1"/>
    <col min="15108" max="15108" width="9.75" style="244" customWidth="1"/>
    <col min="15109" max="15109" width="9" style="244"/>
    <col min="15110" max="15110" width="5.875" style="244" customWidth="1"/>
    <col min="15111" max="15111" width="11.5" style="244" bestFit="1" customWidth="1"/>
    <col min="15112" max="15112" width="7" style="244" customWidth="1"/>
    <col min="15113" max="15115" width="0" style="244" hidden="1" customWidth="1"/>
    <col min="15116" max="15116" width="11" style="244" customWidth="1"/>
    <col min="15117" max="15117" width="5" style="244" customWidth="1"/>
    <col min="15118" max="15118" width="6.375" style="244" customWidth="1"/>
    <col min="15119" max="15119" width="0" style="244" hidden="1" customWidth="1"/>
    <col min="15120" max="15120" width="4.25" style="244" customWidth="1"/>
    <col min="15121" max="15121" width="9.125" style="244" bestFit="1" customWidth="1"/>
    <col min="15122" max="15360" width="9" style="244"/>
    <col min="15361" max="15361" width="11.25" style="244" customWidth="1"/>
    <col min="15362" max="15362" width="9" style="244"/>
    <col min="15363" max="15363" width="4.75" style="244" customWidth="1"/>
    <col min="15364" max="15364" width="9.75" style="244" customWidth="1"/>
    <col min="15365" max="15365" width="9" style="244"/>
    <col min="15366" max="15366" width="5.875" style="244" customWidth="1"/>
    <col min="15367" max="15367" width="11.5" style="244" bestFit="1" customWidth="1"/>
    <col min="15368" max="15368" width="7" style="244" customWidth="1"/>
    <col min="15369" max="15371" width="0" style="244" hidden="1" customWidth="1"/>
    <col min="15372" max="15372" width="11" style="244" customWidth="1"/>
    <col min="15373" max="15373" width="5" style="244" customWidth="1"/>
    <col min="15374" max="15374" width="6.375" style="244" customWidth="1"/>
    <col min="15375" max="15375" width="0" style="244" hidden="1" customWidth="1"/>
    <col min="15376" max="15376" width="4.25" style="244" customWidth="1"/>
    <col min="15377" max="15377" width="9.125" style="244" bestFit="1" customWidth="1"/>
    <col min="15378" max="15616" width="9" style="244"/>
    <col min="15617" max="15617" width="11.25" style="244" customWidth="1"/>
    <col min="15618" max="15618" width="9" style="244"/>
    <col min="15619" max="15619" width="4.75" style="244" customWidth="1"/>
    <col min="15620" max="15620" width="9.75" style="244" customWidth="1"/>
    <col min="15621" max="15621" width="9" style="244"/>
    <col min="15622" max="15622" width="5.875" style="244" customWidth="1"/>
    <col min="15623" max="15623" width="11.5" style="244" bestFit="1" customWidth="1"/>
    <col min="15624" max="15624" width="7" style="244" customWidth="1"/>
    <col min="15625" max="15627" width="0" style="244" hidden="1" customWidth="1"/>
    <col min="15628" max="15628" width="11" style="244" customWidth="1"/>
    <col min="15629" max="15629" width="5" style="244" customWidth="1"/>
    <col min="15630" max="15630" width="6.375" style="244" customWidth="1"/>
    <col min="15631" max="15631" width="0" style="244" hidden="1" customWidth="1"/>
    <col min="15632" max="15632" width="4.25" style="244" customWidth="1"/>
    <col min="15633" max="15633" width="9.125" style="244" bestFit="1" customWidth="1"/>
    <col min="15634" max="15872" width="9" style="244"/>
    <col min="15873" max="15873" width="11.25" style="244" customWidth="1"/>
    <col min="15874" max="15874" width="9" style="244"/>
    <col min="15875" max="15875" width="4.75" style="244" customWidth="1"/>
    <col min="15876" max="15876" width="9.75" style="244" customWidth="1"/>
    <col min="15877" max="15877" width="9" style="244"/>
    <col min="15878" max="15878" width="5.875" style="244" customWidth="1"/>
    <col min="15879" max="15879" width="11.5" style="244" bestFit="1" customWidth="1"/>
    <col min="15880" max="15880" width="7" style="244" customWidth="1"/>
    <col min="15881" max="15883" width="0" style="244" hidden="1" customWidth="1"/>
    <col min="15884" max="15884" width="11" style="244" customWidth="1"/>
    <col min="15885" max="15885" width="5" style="244" customWidth="1"/>
    <col min="15886" max="15886" width="6.375" style="244" customWidth="1"/>
    <col min="15887" max="15887" width="0" style="244" hidden="1" customWidth="1"/>
    <col min="15888" max="15888" width="4.25" style="244" customWidth="1"/>
    <col min="15889" max="15889" width="9.125" style="244" bestFit="1" customWidth="1"/>
    <col min="15890" max="16128" width="9" style="244"/>
    <col min="16129" max="16129" width="11.25" style="244" customWidth="1"/>
    <col min="16130" max="16130" width="9" style="244"/>
    <col min="16131" max="16131" width="4.75" style="244" customWidth="1"/>
    <col min="16132" max="16132" width="9.75" style="244" customWidth="1"/>
    <col min="16133" max="16133" width="9" style="244"/>
    <col min="16134" max="16134" width="5.875" style="244" customWidth="1"/>
    <col min="16135" max="16135" width="11.5" style="244" bestFit="1" customWidth="1"/>
    <col min="16136" max="16136" width="7" style="244" customWidth="1"/>
    <col min="16137" max="16139" width="0" style="244" hidden="1" customWidth="1"/>
    <col min="16140" max="16140" width="11" style="244" customWidth="1"/>
    <col min="16141" max="16141" width="5" style="244" customWidth="1"/>
    <col min="16142" max="16142" width="6.375" style="244" customWidth="1"/>
    <col min="16143" max="16143" width="0" style="244" hidden="1" customWidth="1"/>
    <col min="16144" max="16144" width="4.25" style="244" customWidth="1"/>
    <col min="16145" max="16145" width="9.125" style="244" bestFit="1" customWidth="1"/>
    <col min="16146" max="16384" width="9" style="244"/>
  </cols>
  <sheetData>
    <row r="1" spans="1:13">
      <c r="A1" s="243" t="s">
        <v>0</v>
      </c>
      <c r="B1" s="243"/>
      <c r="C1" s="243"/>
      <c r="E1" s="245"/>
    </row>
    <row r="2" spans="1:13">
      <c r="E2" s="245"/>
      <c r="F2" s="244" t="s">
        <v>274</v>
      </c>
    </row>
    <row r="3" spans="1:13">
      <c r="A3" s="243" t="s">
        <v>275</v>
      </c>
      <c r="E3" s="245"/>
    </row>
    <row r="4" spans="1:13">
      <c r="E4" s="245"/>
      <c r="F4" s="244" t="s">
        <v>276</v>
      </c>
      <c r="I4" s="246"/>
    </row>
    <row r="5" spans="1:13">
      <c r="A5" s="247"/>
      <c r="B5" s="247"/>
      <c r="C5" s="247"/>
      <c r="D5" s="247"/>
      <c r="E5" s="248"/>
      <c r="F5" s="247"/>
      <c r="G5" s="247"/>
      <c r="H5" s="247"/>
      <c r="I5" s="247"/>
      <c r="J5" s="247"/>
      <c r="L5" s="373" t="s">
        <v>277</v>
      </c>
      <c r="M5" s="373"/>
    </row>
    <row r="6" spans="1:13">
      <c r="A6" s="243" t="s">
        <v>301</v>
      </c>
      <c r="B6" s="243"/>
      <c r="C6" s="243"/>
      <c r="D6" s="243"/>
      <c r="E6" s="243"/>
      <c r="F6" s="243"/>
      <c r="I6" s="374" t="s">
        <v>278</v>
      </c>
      <c r="J6" s="375"/>
      <c r="L6" s="376">
        <v>9789167.1099999994</v>
      </c>
      <c r="M6" s="377"/>
    </row>
    <row r="7" spans="1:13">
      <c r="A7" s="243" t="s">
        <v>279</v>
      </c>
      <c r="H7" s="245"/>
      <c r="I7" s="249"/>
      <c r="K7" s="250"/>
      <c r="L7" s="249"/>
    </row>
    <row r="8" spans="1:13">
      <c r="A8" s="244" t="s">
        <v>280</v>
      </c>
      <c r="I8" s="250"/>
      <c r="J8" s="249"/>
      <c r="L8" s="250"/>
      <c r="M8" s="249"/>
    </row>
    <row r="9" spans="1:13">
      <c r="I9" s="250"/>
      <c r="J9" s="249"/>
      <c r="L9" s="250"/>
      <c r="M9" s="249"/>
    </row>
    <row r="10" spans="1:13">
      <c r="I10" s="250"/>
      <c r="J10" s="249"/>
      <c r="L10" s="250"/>
      <c r="M10" s="249"/>
    </row>
    <row r="11" spans="1:13">
      <c r="A11" s="251"/>
      <c r="D11" s="251"/>
      <c r="G11" s="252"/>
      <c r="I11" s="250"/>
      <c r="J11" s="249"/>
      <c r="L11" s="378"/>
      <c r="M11" s="379"/>
    </row>
    <row r="12" spans="1:13">
      <c r="A12" s="243" t="s">
        <v>281</v>
      </c>
      <c r="I12" s="250"/>
      <c r="J12" s="249"/>
      <c r="L12" s="250"/>
      <c r="M12" s="249"/>
    </row>
    <row r="13" spans="1:13">
      <c r="A13" s="244" t="s">
        <v>282</v>
      </c>
      <c r="I13" s="253">
        <v>7257493.21</v>
      </c>
      <c r="J13" s="249"/>
      <c r="L13" s="380"/>
      <c r="M13" s="381"/>
    </row>
    <row r="14" spans="1:13">
      <c r="A14" s="251" t="s">
        <v>302</v>
      </c>
      <c r="D14" s="244">
        <v>14696970</v>
      </c>
      <c r="G14" s="322">
        <v>7500</v>
      </c>
      <c r="I14" s="253"/>
      <c r="J14" s="249"/>
      <c r="L14" s="320"/>
      <c r="M14" s="321"/>
    </row>
    <row r="15" spans="1:13">
      <c r="A15" s="251" t="s">
        <v>302</v>
      </c>
      <c r="D15" s="244">
        <v>14696971</v>
      </c>
      <c r="G15" s="322">
        <v>7500</v>
      </c>
      <c r="I15" s="253"/>
      <c r="J15" s="249"/>
      <c r="L15" s="320"/>
      <c r="M15" s="321"/>
    </row>
    <row r="16" spans="1:13">
      <c r="A16" s="251" t="s">
        <v>302</v>
      </c>
      <c r="D16" s="244">
        <v>14696972</v>
      </c>
      <c r="G16" s="322">
        <v>7500</v>
      </c>
      <c r="I16" s="253"/>
      <c r="J16" s="249"/>
      <c r="L16" s="320"/>
      <c r="M16" s="321"/>
    </row>
    <row r="17" spans="1:13">
      <c r="A17" s="251" t="s">
        <v>302</v>
      </c>
      <c r="D17" s="244">
        <v>14696973</v>
      </c>
      <c r="G17" s="322">
        <v>7500</v>
      </c>
      <c r="I17" s="253"/>
      <c r="J17" s="249"/>
      <c r="L17" s="320"/>
      <c r="M17" s="321"/>
    </row>
    <row r="18" spans="1:13">
      <c r="A18" s="251" t="s">
        <v>302</v>
      </c>
      <c r="D18" s="244">
        <v>14696974</v>
      </c>
      <c r="G18" s="322">
        <v>7500</v>
      </c>
      <c r="I18" s="253"/>
      <c r="J18" s="249"/>
      <c r="L18" s="320"/>
      <c r="M18" s="321"/>
    </row>
    <row r="19" spans="1:13">
      <c r="A19" s="251" t="s">
        <v>302</v>
      </c>
      <c r="D19" s="244">
        <v>14696975</v>
      </c>
      <c r="G19" s="322">
        <v>7500</v>
      </c>
      <c r="I19" s="253"/>
      <c r="J19" s="249"/>
      <c r="L19" s="320"/>
      <c r="M19" s="321"/>
    </row>
    <row r="20" spans="1:13">
      <c r="A20" s="251" t="s">
        <v>302</v>
      </c>
      <c r="D20" s="244">
        <v>14696976</v>
      </c>
      <c r="G20" s="322">
        <v>7500</v>
      </c>
      <c r="I20" s="253"/>
      <c r="J20" s="249"/>
      <c r="L20" s="320"/>
      <c r="M20" s="321"/>
    </row>
    <row r="21" spans="1:13">
      <c r="A21" s="251" t="s">
        <v>303</v>
      </c>
      <c r="D21" s="244">
        <v>14696991</v>
      </c>
      <c r="G21" s="322">
        <v>1325</v>
      </c>
      <c r="I21" s="253"/>
      <c r="J21" s="249"/>
      <c r="L21" s="320"/>
      <c r="M21" s="321"/>
    </row>
    <row r="22" spans="1:13">
      <c r="A22" s="251" t="s">
        <v>303</v>
      </c>
      <c r="D22" s="244">
        <v>14696997</v>
      </c>
      <c r="G22" s="322">
        <v>1450</v>
      </c>
      <c r="I22" s="253"/>
      <c r="J22" s="249"/>
      <c r="L22" s="320"/>
      <c r="M22" s="321"/>
    </row>
    <row r="23" spans="1:13">
      <c r="A23" s="251" t="s">
        <v>303</v>
      </c>
      <c r="D23" s="244">
        <v>14696998</v>
      </c>
      <c r="G23" s="322">
        <v>15850.47</v>
      </c>
      <c r="I23" s="253"/>
      <c r="J23" s="249"/>
      <c r="L23" s="320"/>
      <c r="M23" s="321"/>
    </row>
    <row r="24" spans="1:13">
      <c r="A24" s="251" t="s">
        <v>304</v>
      </c>
      <c r="D24" s="244">
        <v>14697002</v>
      </c>
      <c r="G24" s="322">
        <v>11335.5</v>
      </c>
      <c r="I24" s="253"/>
      <c r="J24" s="249"/>
      <c r="L24" s="320"/>
      <c r="M24" s="321"/>
    </row>
    <row r="25" spans="1:13">
      <c r="A25" s="251" t="s">
        <v>304</v>
      </c>
      <c r="D25" s="244">
        <v>14697003</v>
      </c>
      <c r="G25" s="322">
        <v>3830</v>
      </c>
      <c r="I25" s="253"/>
      <c r="J25" s="249"/>
      <c r="L25" s="320"/>
      <c r="M25" s="321"/>
    </row>
    <row r="26" spans="1:13">
      <c r="A26" s="251" t="s">
        <v>304</v>
      </c>
      <c r="D26" s="244">
        <v>14697004</v>
      </c>
      <c r="G26" s="322">
        <v>50979.07</v>
      </c>
      <c r="I26" s="253"/>
      <c r="J26" s="249"/>
      <c r="L26" s="320"/>
      <c r="M26" s="321"/>
    </row>
    <row r="27" spans="1:13">
      <c r="A27" s="251" t="s">
        <v>304</v>
      </c>
      <c r="D27" s="244">
        <v>14697005</v>
      </c>
      <c r="G27" s="322">
        <v>500</v>
      </c>
      <c r="I27" s="253"/>
      <c r="J27" s="249"/>
      <c r="L27" s="320"/>
      <c r="M27" s="321"/>
    </row>
    <row r="28" spans="1:13">
      <c r="A28" s="251" t="s">
        <v>304</v>
      </c>
      <c r="D28" s="244">
        <v>14697006</v>
      </c>
      <c r="G28" s="322">
        <v>3500</v>
      </c>
      <c r="I28" s="253"/>
      <c r="J28" s="249"/>
      <c r="L28" s="320"/>
      <c r="M28" s="321"/>
    </row>
    <row r="29" spans="1:13">
      <c r="A29" s="251" t="s">
        <v>304</v>
      </c>
      <c r="D29" s="244">
        <v>14697007</v>
      </c>
      <c r="G29" s="322">
        <v>3000</v>
      </c>
      <c r="I29" s="253"/>
      <c r="J29" s="249"/>
      <c r="L29" s="320"/>
      <c r="M29" s="321"/>
    </row>
    <row r="30" spans="1:13">
      <c r="A30" s="251" t="s">
        <v>304</v>
      </c>
      <c r="D30" s="244">
        <v>14697008</v>
      </c>
      <c r="G30" s="322">
        <v>4316.05</v>
      </c>
      <c r="I30" s="253"/>
      <c r="J30" s="249"/>
      <c r="L30" s="320"/>
      <c r="M30" s="321"/>
    </row>
    <row r="31" spans="1:13">
      <c r="A31" s="251" t="s">
        <v>304</v>
      </c>
      <c r="D31" s="244">
        <v>14697009</v>
      </c>
      <c r="G31" s="322">
        <v>8024.3</v>
      </c>
      <c r="I31" s="253"/>
      <c r="J31" s="249"/>
      <c r="L31" s="320"/>
      <c r="M31" s="321"/>
    </row>
    <row r="32" spans="1:13">
      <c r="A32" s="251" t="s">
        <v>304</v>
      </c>
      <c r="D32" s="244">
        <v>14697010</v>
      </c>
      <c r="G32" s="322">
        <v>13171</v>
      </c>
      <c r="I32" s="253"/>
      <c r="J32" s="249"/>
      <c r="L32" s="320"/>
      <c r="M32" s="321"/>
    </row>
    <row r="33" spans="1:13">
      <c r="A33" s="251" t="s">
        <v>304</v>
      </c>
      <c r="D33" s="244">
        <v>14697011</v>
      </c>
      <c r="G33" s="323">
        <v>3000</v>
      </c>
      <c r="I33" s="253"/>
      <c r="J33" s="249"/>
      <c r="L33" s="317"/>
      <c r="M33" s="318"/>
    </row>
    <row r="34" spans="1:13">
      <c r="A34" s="382" t="s">
        <v>307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</row>
    <row r="35" spans="1:13">
      <c r="A35" s="251"/>
      <c r="G35" s="323"/>
      <c r="I35" s="253"/>
      <c r="J35" s="249"/>
      <c r="L35" s="320"/>
      <c r="M35" s="321"/>
    </row>
    <row r="36" spans="1:13">
      <c r="A36" s="251" t="s">
        <v>304</v>
      </c>
      <c r="D36" s="244">
        <v>14697012</v>
      </c>
      <c r="G36" s="323">
        <v>2400</v>
      </c>
      <c r="I36" s="253"/>
      <c r="J36" s="249"/>
      <c r="L36" s="317"/>
      <c r="M36" s="318"/>
    </row>
    <row r="37" spans="1:13">
      <c r="A37" s="251" t="s">
        <v>304</v>
      </c>
      <c r="D37" s="244">
        <v>14697013</v>
      </c>
      <c r="G37" s="323">
        <v>3856</v>
      </c>
      <c r="I37" s="253"/>
      <c r="J37" s="249"/>
      <c r="L37" s="317"/>
      <c r="M37" s="318"/>
    </row>
    <row r="38" spans="1:13">
      <c r="A38" s="251" t="s">
        <v>304</v>
      </c>
      <c r="D38" s="244">
        <v>14697014</v>
      </c>
      <c r="G38" s="323">
        <v>78480</v>
      </c>
      <c r="I38" s="253"/>
      <c r="J38" s="249"/>
      <c r="L38" s="320"/>
      <c r="M38" s="321"/>
    </row>
    <row r="39" spans="1:13">
      <c r="A39" s="251" t="s">
        <v>304</v>
      </c>
      <c r="D39" s="244">
        <v>14697015</v>
      </c>
      <c r="G39" s="323">
        <v>7000</v>
      </c>
      <c r="I39" s="253"/>
      <c r="J39" s="249"/>
      <c r="L39" s="320"/>
      <c r="M39" s="321"/>
    </row>
    <row r="40" spans="1:13">
      <c r="A40" s="251" t="s">
        <v>304</v>
      </c>
      <c r="D40" s="244">
        <v>14697016</v>
      </c>
      <c r="G40" s="323">
        <v>14664</v>
      </c>
      <c r="I40" s="253"/>
      <c r="J40" s="249"/>
      <c r="L40" s="320"/>
      <c r="M40" s="321"/>
    </row>
    <row r="41" spans="1:13">
      <c r="A41" s="251" t="s">
        <v>304</v>
      </c>
      <c r="D41" s="244">
        <v>14697017</v>
      </c>
      <c r="G41" s="323">
        <v>171383.18</v>
      </c>
      <c r="I41" s="253"/>
      <c r="J41" s="249"/>
      <c r="L41" s="320"/>
      <c r="M41" s="321"/>
    </row>
    <row r="42" spans="1:13">
      <c r="A42" s="251" t="s">
        <v>304</v>
      </c>
      <c r="D42" s="244">
        <v>14697018</v>
      </c>
      <c r="G42" s="323">
        <v>474523.36</v>
      </c>
      <c r="I42" s="253"/>
      <c r="J42" s="249"/>
      <c r="L42" s="320"/>
      <c r="M42" s="321"/>
    </row>
    <row r="43" spans="1:13">
      <c r="A43" s="251" t="s">
        <v>304</v>
      </c>
      <c r="D43" s="244">
        <v>14697019</v>
      </c>
      <c r="G43" s="323">
        <v>2900</v>
      </c>
      <c r="I43" s="250"/>
      <c r="J43" s="249"/>
      <c r="L43" s="378">
        <f>SUM(G14:G43)</f>
        <v>927987.92999999993</v>
      </c>
      <c r="M43" s="379"/>
    </row>
    <row r="44" spans="1:13">
      <c r="A44" s="243" t="s">
        <v>283</v>
      </c>
      <c r="D44" s="251"/>
      <c r="G44" s="254"/>
      <c r="I44" s="249"/>
      <c r="J44" s="249"/>
      <c r="L44" s="258"/>
      <c r="M44" s="255"/>
    </row>
    <row r="45" spans="1:13">
      <c r="A45" s="256" t="s">
        <v>284</v>
      </c>
      <c r="D45" s="251"/>
      <c r="G45" s="254"/>
      <c r="I45" s="249"/>
      <c r="J45" s="249"/>
      <c r="L45" s="258"/>
      <c r="M45" s="255"/>
    </row>
    <row r="46" spans="1:13">
      <c r="A46" s="244" t="s">
        <v>280</v>
      </c>
      <c r="D46" s="251"/>
      <c r="G46" s="254"/>
      <c r="I46" s="249"/>
      <c r="J46" s="249"/>
      <c r="L46" s="258"/>
      <c r="M46" s="255"/>
    </row>
    <row r="47" spans="1:13">
      <c r="D47" s="251"/>
      <c r="G47" s="254"/>
      <c r="I47" s="249"/>
      <c r="J47" s="249"/>
      <c r="L47" s="319"/>
      <c r="M47" s="255"/>
    </row>
    <row r="48" spans="1:13">
      <c r="A48" s="251"/>
      <c r="D48" s="251"/>
      <c r="G48" s="254"/>
      <c r="I48" s="249"/>
      <c r="J48" s="249"/>
      <c r="L48" s="258"/>
      <c r="M48" s="255"/>
    </row>
    <row r="49" spans="1:17">
      <c r="A49" s="257"/>
      <c r="D49" s="251"/>
      <c r="G49" s="254"/>
      <c r="I49" s="249"/>
      <c r="J49" s="249"/>
      <c r="L49" s="369">
        <f>SUM(G48:G48)</f>
        <v>0</v>
      </c>
      <c r="M49" s="370"/>
    </row>
    <row r="50" spans="1:17">
      <c r="A50" s="259" t="s">
        <v>305</v>
      </c>
      <c r="B50" s="247"/>
      <c r="C50" s="247"/>
      <c r="D50" s="247"/>
      <c r="E50" s="247"/>
      <c r="F50" s="247"/>
      <c r="G50" s="247"/>
      <c r="H50" s="248"/>
      <c r="I50" s="260">
        <v>7256974.21</v>
      </c>
      <c r="J50" s="249"/>
      <c r="L50" s="371">
        <f>L6+L11-L43-L49</f>
        <v>8861179.1799999997</v>
      </c>
      <c r="M50" s="372"/>
      <c r="Q50" s="261"/>
    </row>
    <row r="51" spans="1:17">
      <c r="A51" s="243" t="s">
        <v>199</v>
      </c>
      <c r="F51" s="250" t="s">
        <v>285</v>
      </c>
      <c r="I51" s="249"/>
      <c r="J51" s="247"/>
    </row>
    <row r="52" spans="1:17">
      <c r="F52" s="250"/>
      <c r="J52" s="249"/>
    </row>
    <row r="53" spans="1:17">
      <c r="A53" s="243" t="s">
        <v>286</v>
      </c>
      <c r="D53" s="243" t="s">
        <v>306</v>
      </c>
      <c r="F53" s="262" t="s">
        <v>287</v>
      </c>
      <c r="L53" s="243" t="str">
        <f>D53</f>
        <v>วันที่ 29 ก.พ. 2559</v>
      </c>
    </row>
    <row r="54" spans="1:17">
      <c r="A54" s="259" t="s">
        <v>288</v>
      </c>
      <c r="B54" s="247"/>
      <c r="C54" s="247"/>
      <c r="D54" s="247"/>
      <c r="E54" s="247"/>
      <c r="F54" s="263" t="s">
        <v>289</v>
      </c>
      <c r="G54" s="247"/>
      <c r="H54" s="247"/>
      <c r="I54" s="247"/>
      <c r="J54" s="247"/>
      <c r="K54" s="247"/>
      <c r="L54" s="247"/>
      <c r="M54" s="247"/>
    </row>
    <row r="55" spans="1:17">
      <c r="A55" s="249"/>
    </row>
    <row r="56" spans="1:17">
      <c r="A56" s="249"/>
    </row>
  </sheetData>
  <mergeCells count="9">
    <mergeCell ref="L49:M49"/>
    <mergeCell ref="L50:M50"/>
    <mergeCell ref="L5:M5"/>
    <mergeCell ref="I6:J6"/>
    <mergeCell ref="L6:M6"/>
    <mergeCell ref="L11:M11"/>
    <mergeCell ref="L13:M13"/>
    <mergeCell ref="L43:M43"/>
    <mergeCell ref="A34:M34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topLeftCell="J130" zoomScaleSheetLayoutView="100" workbookViewId="0">
      <selection activeCell="I142" sqref="I142:N142"/>
    </sheetView>
  </sheetViews>
  <sheetFormatPr defaultRowHeight="21.75"/>
  <cols>
    <col min="1" max="1" width="14.125" style="188" customWidth="1"/>
    <col min="2" max="2" width="11.25" style="188" bestFit="1" customWidth="1"/>
    <col min="3" max="3" width="5.25" style="188" bestFit="1" customWidth="1"/>
    <col min="4" max="4" width="11.25" style="188" bestFit="1" customWidth="1"/>
    <col min="5" max="6" width="9" style="188" bestFit="1" customWidth="1"/>
    <col min="7" max="7" width="11.25" style="188" bestFit="1" customWidth="1"/>
    <col min="8" max="8" width="9" style="188" bestFit="1" customWidth="1"/>
    <col min="9" max="10" width="11.25" style="188" bestFit="1" customWidth="1"/>
    <col min="11" max="12" width="9" style="188" bestFit="1" customWidth="1"/>
    <col min="13" max="13" width="8.125" style="188" bestFit="1" customWidth="1"/>
    <col min="14" max="16" width="9" style="188" bestFit="1" customWidth="1"/>
    <col min="17" max="18" width="11.25" style="188" bestFit="1" customWidth="1"/>
    <col min="19" max="19" width="12.125" style="188" bestFit="1" customWidth="1"/>
    <col min="20" max="20" width="9" style="188"/>
    <col min="21" max="21" width="10.5" style="188" bestFit="1" customWidth="1"/>
    <col min="22" max="257" width="9" style="188"/>
    <col min="258" max="258" width="14.125" style="188" customWidth="1"/>
    <col min="259" max="259" width="9.75" style="188" customWidth="1"/>
    <col min="260" max="260" width="7.875" style="188" customWidth="1"/>
    <col min="261" max="261" width="9.75" style="188" customWidth="1"/>
    <col min="262" max="262" width="7.875" style="188" customWidth="1"/>
    <col min="263" max="263" width="9.75" style="188" customWidth="1"/>
    <col min="264" max="264" width="8.625" style="188" customWidth="1"/>
    <col min="265" max="265" width="7.625" style="188" customWidth="1"/>
    <col min="266" max="267" width="9.75" style="188" customWidth="1"/>
    <col min="268" max="273" width="8.625" style="188" customWidth="1"/>
    <col min="274" max="274" width="9.75" style="188" customWidth="1"/>
    <col min="275" max="275" width="10.5" style="188" bestFit="1" customWidth="1"/>
    <col min="276" max="276" width="9" style="188"/>
    <col min="277" max="277" width="10.5" style="188" bestFit="1" customWidth="1"/>
    <col min="278" max="513" width="9" style="188"/>
    <col min="514" max="514" width="14.125" style="188" customWidth="1"/>
    <col min="515" max="515" width="9.75" style="188" customWidth="1"/>
    <col min="516" max="516" width="7.875" style="188" customWidth="1"/>
    <col min="517" max="517" width="9.75" style="188" customWidth="1"/>
    <col min="518" max="518" width="7.875" style="188" customWidth="1"/>
    <col min="519" max="519" width="9.75" style="188" customWidth="1"/>
    <col min="520" max="520" width="8.625" style="188" customWidth="1"/>
    <col min="521" max="521" width="7.625" style="188" customWidth="1"/>
    <col min="522" max="523" width="9.75" style="188" customWidth="1"/>
    <col min="524" max="529" width="8.625" style="188" customWidth="1"/>
    <col min="530" max="530" width="9.75" style="188" customWidth="1"/>
    <col min="531" max="531" width="10.5" style="188" bestFit="1" customWidth="1"/>
    <col min="532" max="532" width="9" style="188"/>
    <col min="533" max="533" width="10.5" style="188" bestFit="1" customWidth="1"/>
    <col min="534" max="769" width="9" style="188"/>
    <col min="770" max="770" width="14.125" style="188" customWidth="1"/>
    <col min="771" max="771" width="9.75" style="188" customWidth="1"/>
    <col min="772" max="772" width="7.875" style="188" customWidth="1"/>
    <col min="773" max="773" width="9.75" style="188" customWidth="1"/>
    <col min="774" max="774" width="7.875" style="188" customWidth="1"/>
    <col min="775" max="775" width="9.75" style="188" customWidth="1"/>
    <col min="776" max="776" width="8.625" style="188" customWidth="1"/>
    <col min="777" max="777" width="7.625" style="188" customWidth="1"/>
    <col min="778" max="779" width="9.75" style="188" customWidth="1"/>
    <col min="780" max="785" width="8.625" style="188" customWidth="1"/>
    <col min="786" max="786" width="9.75" style="188" customWidth="1"/>
    <col min="787" max="787" width="10.5" style="188" bestFit="1" customWidth="1"/>
    <col min="788" max="788" width="9" style="188"/>
    <col min="789" max="789" width="10.5" style="188" bestFit="1" customWidth="1"/>
    <col min="790" max="1025" width="9" style="188"/>
    <col min="1026" max="1026" width="14.125" style="188" customWidth="1"/>
    <col min="1027" max="1027" width="9.75" style="188" customWidth="1"/>
    <col min="1028" max="1028" width="7.875" style="188" customWidth="1"/>
    <col min="1029" max="1029" width="9.75" style="188" customWidth="1"/>
    <col min="1030" max="1030" width="7.875" style="188" customWidth="1"/>
    <col min="1031" max="1031" width="9.75" style="188" customWidth="1"/>
    <col min="1032" max="1032" width="8.625" style="188" customWidth="1"/>
    <col min="1033" max="1033" width="7.625" style="188" customWidth="1"/>
    <col min="1034" max="1035" width="9.75" style="188" customWidth="1"/>
    <col min="1036" max="1041" width="8.625" style="188" customWidth="1"/>
    <col min="1042" max="1042" width="9.75" style="188" customWidth="1"/>
    <col min="1043" max="1043" width="10.5" style="188" bestFit="1" customWidth="1"/>
    <col min="1044" max="1044" width="9" style="188"/>
    <col min="1045" max="1045" width="10.5" style="188" bestFit="1" customWidth="1"/>
    <col min="1046" max="1281" width="9" style="188"/>
    <col min="1282" max="1282" width="14.125" style="188" customWidth="1"/>
    <col min="1283" max="1283" width="9.75" style="188" customWidth="1"/>
    <col min="1284" max="1284" width="7.875" style="188" customWidth="1"/>
    <col min="1285" max="1285" width="9.75" style="188" customWidth="1"/>
    <col min="1286" max="1286" width="7.875" style="188" customWidth="1"/>
    <col min="1287" max="1287" width="9.75" style="188" customWidth="1"/>
    <col min="1288" max="1288" width="8.625" style="188" customWidth="1"/>
    <col min="1289" max="1289" width="7.625" style="188" customWidth="1"/>
    <col min="1290" max="1291" width="9.75" style="188" customWidth="1"/>
    <col min="1292" max="1297" width="8.625" style="188" customWidth="1"/>
    <col min="1298" max="1298" width="9.75" style="188" customWidth="1"/>
    <col min="1299" max="1299" width="10.5" style="188" bestFit="1" customWidth="1"/>
    <col min="1300" max="1300" width="9" style="188"/>
    <col min="1301" max="1301" width="10.5" style="188" bestFit="1" customWidth="1"/>
    <col min="1302" max="1537" width="9" style="188"/>
    <col min="1538" max="1538" width="14.125" style="188" customWidth="1"/>
    <col min="1539" max="1539" width="9.75" style="188" customWidth="1"/>
    <col min="1540" max="1540" width="7.875" style="188" customWidth="1"/>
    <col min="1541" max="1541" width="9.75" style="188" customWidth="1"/>
    <col min="1542" max="1542" width="7.875" style="188" customWidth="1"/>
    <col min="1543" max="1543" width="9.75" style="188" customWidth="1"/>
    <col min="1544" max="1544" width="8.625" style="188" customWidth="1"/>
    <col min="1545" max="1545" width="7.625" style="188" customWidth="1"/>
    <col min="1546" max="1547" width="9.75" style="188" customWidth="1"/>
    <col min="1548" max="1553" width="8.625" style="188" customWidth="1"/>
    <col min="1554" max="1554" width="9.75" style="188" customWidth="1"/>
    <col min="1555" max="1555" width="10.5" style="188" bestFit="1" customWidth="1"/>
    <col min="1556" max="1556" width="9" style="188"/>
    <col min="1557" max="1557" width="10.5" style="188" bestFit="1" customWidth="1"/>
    <col min="1558" max="1793" width="9" style="188"/>
    <col min="1794" max="1794" width="14.125" style="188" customWidth="1"/>
    <col min="1795" max="1795" width="9.75" style="188" customWidth="1"/>
    <col min="1796" max="1796" width="7.875" style="188" customWidth="1"/>
    <col min="1797" max="1797" width="9.75" style="188" customWidth="1"/>
    <col min="1798" max="1798" width="7.875" style="188" customWidth="1"/>
    <col min="1799" max="1799" width="9.75" style="188" customWidth="1"/>
    <col min="1800" max="1800" width="8.625" style="188" customWidth="1"/>
    <col min="1801" max="1801" width="7.625" style="188" customWidth="1"/>
    <col min="1802" max="1803" width="9.75" style="188" customWidth="1"/>
    <col min="1804" max="1809" width="8.625" style="188" customWidth="1"/>
    <col min="1810" max="1810" width="9.75" style="188" customWidth="1"/>
    <col min="1811" max="1811" width="10.5" style="188" bestFit="1" customWidth="1"/>
    <col min="1812" max="1812" width="9" style="188"/>
    <col min="1813" max="1813" width="10.5" style="188" bestFit="1" customWidth="1"/>
    <col min="1814" max="2049" width="9" style="188"/>
    <col min="2050" max="2050" width="14.125" style="188" customWidth="1"/>
    <col min="2051" max="2051" width="9.75" style="188" customWidth="1"/>
    <col min="2052" max="2052" width="7.875" style="188" customWidth="1"/>
    <col min="2053" max="2053" width="9.75" style="188" customWidth="1"/>
    <col min="2054" max="2054" width="7.875" style="188" customWidth="1"/>
    <col min="2055" max="2055" width="9.75" style="188" customWidth="1"/>
    <col min="2056" max="2056" width="8.625" style="188" customWidth="1"/>
    <col min="2057" max="2057" width="7.625" style="188" customWidth="1"/>
    <col min="2058" max="2059" width="9.75" style="188" customWidth="1"/>
    <col min="2060" max="2065" width="8.625" style="188" customWidth="1"/>
    <col min="2066" max="2066" width="9.75" style="188" customWidth="1"/>
    <col min="2067" max="2067" width="10.5" style="188" bestFit="1" customWidth="1"/>
    <col min="2068" max="2068" width="9" style="188"/>
    <col min="2069" max="2069" width="10.5" style="188" bestFit="1" customWidth="1"/>
    <col min="2070" max="2305" width="9" style="188"/>
    <col min="2306" max="2306" width="14.125" style="188" customWidth="1"/>
    <col min="2307" max="2307" width="9.75" style="188" customWidth="1"/>
    <col min="2308" max="2308" width="7.875" style="188" customWidth="1"/>
    <col min="2309" max="2309" width="9.75" style="188" customWidth="1"/>
    <col min="2310" max="2310" width="7.875" style="188" customWidth="1"/>
    <col min="2311" max="2311" width="9.75" style="188" customWidth="1"/>
    <col min="2312" max="2312" width="8.625" style="188" customWidth="1"/>
    <col min="2313" max="2313" width="7.625" style="188" customWidth="1"/>
    <col min="2314" max="2315" width="9.75" style="188" customWidth="1"/>
    <col min="2316" max="2321" width="8.625" style="188" customWidth="1"/>
    <col min="2322" max="2322" width="9.75" style="188" customWidth="1"/>
    <col min="2323" max="2323" width="10.5" style="188" bestFit="1" customWidth="1"/>
    <col min="2324" max="2324" width="9" style="188"/>
    <col min="2325" max="2325" width="10.5" style="188" bestFit="1" customWidth="1"/>
    <col min="2326" max="2561" width="9" style="188"/>
    <col min="2562" max="2562" width="14.125" style="188" customWidth="1"/>
    <col min="2563" max="2563" width="9.75" style="188" customWidth="1"/>
    <col min="2564" max="2564" width="7.875" style="188" customWidth="1"/>
    <col min="2565" max="2565" width="9.75" style="188" customWidth="1"/>
    <col min="2566" max="2566" width="7.875" style="188" customWidth="1"/>
    <col min="2567" max="2567" width="9.75" style="188" customWidth="1"/>
    <col min="2568" max="2568" width="8.625" style="188" customWidth="1"/>
    <col min="2569" max="2569" width="7.625" style="188" customWidth="1"/>
    <col min="2570" max="2571" width="9.75" style="188" customWidth="1"/>
    <col min="2572" max="2577" width="8.625" style="188" customWidth="1"/>
    <col min="2578" max="2578" width="9.75" style="188" customWidth="1"/>
    <col min="2579" max="2579" width="10.5" style="188" bestFit="1" customWidth="1"/>
    <col min="2580" max="2580" width="9" style="188"/>
    <col min="2581" max="2581" width="10.5" style="188" bestFit="1" customWidth="1"/>
    <col min="2582" max="2817" width="9" style="188"/>
    <col min="2818" max="2818" width="14.125" style="188" customWidth="1"/>
    <col min="2819" max="2819" width="9.75" style="188" customWidth="1"/>
    <col min="2820" max="2820" width="7.875" style="188" customWidth="1"/>
    <col min="2821" max="2821" width="9.75" style="188" customWidth="1"/>
    <col min="2822" max="2822" width="7.875" style="188" customWidth="1"/>
    <col min="2823" max="2823" width="9.75" style="188" customWidth="1"/>
    <col min="2824" max="2824" width="8.625" style="188" customWidth="1"/>
    <col min="2825" max="2825" width="7.625" style="188" customWidth="1"/>
    <col min="2826" max="2827" width="9.75" style="188" customWidth="1"/>
    <col min="2828" max="2833" width="8.625" style="188" customWidth="1"/>
    <col min="2834" max="2834" width="9.75" style="188" customWidth="1"/>
    <col min="2835" max="2835" width="10.5" style="188" bestFit="1" customWidth="1"/>
    <col min="2836" max="2836" width="9" style="188"/>
    <col min="2837" max="2837" width="10.5" style="188" bestFit="1" customWidth="1"/>
    <col min="2838" max="3073" width="9" style="188"/>
    <col min="3074" max="3074" width="14.125" style="188" customWidth="1"/>
    <col min="3075" max="3075" width="9.75" style="188" customWidth="1"/>
    <col min="3076" max="3076" width="7.875" style="188" customWidth="1"/>
    <col min="3077" max="3077" width="9.75" style="188" customWidth="1"/>
    <col min="3078" max="3078" width="7.875" style="188" customWidth="1"/>
    <col min="3079" max="3079" width="9.75" style="188" customWidth="1"/>
    <col min="3080" max="3080" width="8.625" style="188" customWidth="1"/>
    <col min="3081" max="3081" width="7.625" style="188" customWidth="1"/>
    <col min="3082" max="3083" width="9.75" style="188" customWidth="1"/>
    <col min="3084" max="3089" width="8.625" style="188" customWidth="1"/>
    <col min="3090" max="3090" width="9.75" style="188" customWidth="1"/>
    <col min="3091" max="3091" width="10.5" style="188" bestFit="1" customWidth="1"/>
    <col min="3092" max="3092" width="9" style="188"/>
    <col min="3093" max="3093" width="10.5" style="188" bestFit="1" customWidth="1"/>
    <col min="3094" max="3329" width="9" style="188"/>
    <col min="3330" max="3330" width="14.125" style="188" customWidth="1"/>
    <col min="3331" max="3331" width="9.75" style="188" customWidth="1"/>
    <col min="3332" max="3332" width="7.875" style="188" customWidth="1"/>
    <col min="3333" max="3333" width="9.75" style="188" customWidth="1"/>
    <col min="3334" max="3334" width="7.875" style="188" customWidth="1"/>
    <col min="3335" max="3335" width="9.75" style="188" customWidth="1"/>
    <col min="3336" max="3336" width="8.625" style="188" customWidth="1"/>
    <col min="3337" max="3337" width="7.625" style="188" customWidth="1"/>
    <col min="3338" max="3339" width="9.75" style="188" customWidth="1"/>
    <col min="3340" max="3345" width="8.625" style="188" customWidth="1"/>
    <col min="3346" max="3346" width="9.75" style="188" customWidth="1"/>
    <col min="3347" max="3347" width="10.5" style="188" bestFit="1" customWidth="1"/>
    <col min="3348" max="3348" width="9" style="188"/>
    <col min="3349" max="3349" width="10.5" style="188" bestFit="1" customWidth="1"/>
    <col min="3350" max="3585" width="9" style="188"/>
    <col min="3586" max="3586" width="14.125" style="188" customWidth="1"/>
    <col min="3587" max="3587" width="9.75" style="188" customWidth="1"/>
    <col min="3588" max="3588" width="7.875" style="188" customWidth="1"/>
    <col min="3589" max="3589" width="9.75" style="188" customWidth="1"/>
    <col min="3590" max="3590" width="7.875" style="188" customWidth="1"/>
    <col min="3591" max="3591" width="9.75" style="188" customWidth="1"/>
    <col min="3592" max="3592" width="8.625" style="188" customWidth="1"/>
    <col min="3593" max="3593" width="7.625" style="188" customWidth="1"/>
    <col min="3594" max="3595" width="9.75" style="188" customWidth="1"/>
    <col min="3596" max="3601" width="8.625" style="188" customWidth="1"/>
    <col min="3602" max="3602" width="9.75" style="188" customWidth="1"/>
    <col min="3603" max="3603" width="10.5" style="188" bestFit="1" customWidth="1"/>
    <col min="3604" max="3604" width="9" style="188"/>
    <col min="3605" max="3605" width="10.5" style="188" bestFit="1" customWidth="1"/>
    <col min="3606" max="3841" width="9" style="188"/>
    <col min="3842" max="3842" width="14.125" style="188" customWidth="1"/>
    <col min="3843" max="3843" width="9.75" style="188" customWidth="1"/>
    <col min="3844" max="3844" width="7.875" style="188" customWidth="1"/>
    <col min="3845" max="3845" width="9.75" style="188" customWidth="1"/>
    <col min="3846" max="3846" width="7.875" style="188" customWidth="1"/>
    <col min="3847" max="3847" width="9.75" style="188" customWidth="1"/>
    <col min="3848" max="3848" width="8.625" style="188" customWidth="1"/>
    <col min="3849" max="3849" width="7.625" style="188" customWidth="1"/>
    <col min="3850" max="3851" width="9.75" style="188" customWidth="1"/>
    <col min="3852" max="3857" width="8.625" style="188" customWidth="1"/>
    <col min="3858" max="3858" width="9.75" style="188" customWidth="1"/>
    <col min="3859" max="3859" width="10.5" style="188" bestFit="1" customWidth="1"/>
    <col min="3860" max="3860" width="9" style="188"/>
    <col min="3861" max="3861" width="10.5" style="188" bestFit="1" customWidth="1"/>
    <col min="3862" max="4097" width="9" style="188"/>
    <col min="4098" max="4098" width="14.125" style="188" customWidth="1"/>
    <col min="4099" max="4099" width="9.75" style="188" customWidth="1"/>
    <col min="4100" max="4100" width="7.875" style="188" customWidth="1"/>
    <col min="4101" max="4101" width="9.75" style="188" customWidth="1"/>
    <col min="4102" max="4102" width="7.875" style="188" customWidth="1"/>
    <col min="4103" max="4103" width="9.75" style="188" customWidth="1"/>
    <col min="4104" max="4104" width="8.625" style="188" customWidth="1"/>
    <col min="4105" max="4105" width="7.625" style="188" customWidth="1"/>
    <col min="4106" max="4107" width="9.75" style="188" customWidth="1"/>
    <col min="4108" max="4113" width="8.625" style="188" customWidth="1"/>
    <col min="4114" max="4114" width="9.75" style="188" customWidth="1"/>
    <col min="4115" max="4115" width="10.5" style="188" bestFit="1" customWidth="1"/>
    <col min="4116" max="4116" width="9" style="188"/>
    <col min="4117" max="4117" width="10.5" style="188" bestFit="1" customWidth="1"/>
    <col min="4118" max="4353" width="9" style="188"/>
    <col min="4354" max="4354" width="14.125" style="188" customWidth="1"/>
    <col min="4355" max="4355" width="9.75" style="188" customWidth="1"/>
    <col min="4356" max="4356" width="7.875" style="188" customWidth="1"/>
    <col min="4357" max="4357" width="9.75" style="188" customWidth="1"/>
    <col min="4358" max="4358" width="7.875" style="188" customWidth="1"/>
    <col min="4359" max="4359" width="9.75" style="188" customWidth="1"/>
    <col min="4360" max="4360" width="8.625" style="188" customWidth="1"/>
    <col min="4361" max="4361" width="7.625" style="188" customWidth="1"/>
    <col min="4362" max="4363" width="9.75" style="188" customWidth="1"/>
    <col min="4364" max="4369" width="8.625" style="188" customWidth="1"/>
    <col min="4370" max="4370" width="9.75" style="188" customWidth="1"/>
    <col min="4371" max="4371" width="10.5" style="188" bestFit="1" customWidth="1"/>
    <col min="4372" max="4372" width="9" style="188"/>
    <col min="4373" max="4373" width="10.5" style="188" bestFit="1" customWidth="1"/>
    <col min="4374" max="4609" width="9" style="188"/>
    <col min="4610" max="4610" width="14.125" style="188" customWidth="1"/>
    <col min="4611" max="4611" width="9.75" style="188" customWidth="1"/>
    <col min="4612" max="4612" width="7.875" style="188" customWidth="1"/>
    <col min="4613" max="4613" width="9.75" style="188" customWidth="1"/>
    <col min="4614" max="4614" width="7.875" style="188" customWidth="1"/>
    <col min="4615" max="4615" width="9.75" style="188" customWidth="1"/>
    <col min="4616" max="4616" width="8.625" style="188" customWidth="1"/>
    <col min="4617" max="4617" width="7.625" style="188" customWidth="1"/>
    <col min="4618" max="4619" width="9.75" style="188" customWidth="1"/>
    <col min="4620" max="4625" width="8.625" style="188" customWidth="1"/>
    <col min="4626" max="4626" width="9.75" style="188" customWidth="1"/>
    <col min="4627" max="4627" width="10.5" style="188" bestFit="1" customWidth="1"/>
    <col min="4628" max="4628" width="9" style="188"/>
    <col min="4629" max="4629" width="10.5" style="188" bestFit="1" customWidth="1"/>
    <col min="4630" max="4865" width="9" style="188"/>
    <col min="4866" max="4866" width="14.125" style="188" customWidth="1"/>
    <col min="4867" max="4867" width="9.75" style="188" customWidth="1"/>
    <col min="4868" max="4868" width="7.875" style="188" customWidth="1"/>
    <col min="4869" max="4869" width="9.75" style="188" customWidth="1"/>
    <col min="4870" max="4870" width="7.875" style="188" customWidth="1"/>
    <col min="4871" max="4871" width="9.75" style="188" customWidth="1"/>
    <col min="4872" max="4872" width="8.625" style="188" customWidth="1"/>
    <col min="4873" max="4873" width="7.625" style="188" customWidth="1"/>
    <col min="4874" max="4875" width="9.75" style="188" customWidth="1"/>
    <col min="4876" max="4881" width="8.625" style="188" customWidth="1"/>
    <col min="4882" max="4882" width="9.75" style="188" customWidth="1"/>
    <col min="4883" max="4883" width="10.5" style="188" bestFit="1" customWidth="1"/>
    <col min="4884" max="4884" width="9" style="188"/>
    <col min="4885" max="4885" width="10.5" style="188" bestFit="1" customWidth="1"/>
    <col min="4886" max="5121" width="9" style="188"/>
    <col min="5122" max="5122" width="14.125" style="188" customWidth="1"/>
    <col min="5123" max="5123" width="9.75" style="188" customWidth="1"/>
    <col min="5124" max="5124" width="7.875" style="188" customWidth="1"/>
    <col min="5125" max="5125" width="9.75" style="188" customWidth="1"/>
    <col min="5126" max="5126" width="7.875" style="188" customWidth="1"/>
    <col min="5127" max="5127" width="9.75" style="188" customWidth="1"/>
    <col min="5128" max="5128" width="8.625" style="188" customWidth="1"/>
    <col min="5129" max="5129" width="7.625" style="188" customWidth="1"/>
    <col min="5130" max="5131" width="9.75" style="188" customWidth="1"/>
    <col min="5132" max="5137" width="8.625" style="188" customWidth="1"/>
    <col min="5138" max="5138" width="9.75" style="188" customWidth="1"/>
    <col min="5139" max="5139" width="10.5" style="188" bestFit="1" customWidth="1"/>
    <col min="5140" max="5140" width="9" style="188"/>
    <col min="5141" max="5141" width="10.5" style="188" bestFit="1" customWidth="1"/>
    <col min="5142" max="5377" width="9" style="188"/>
    <col min="5378" max="5378" width="14.125" style="188" customWidth="1"/>
    <col min="5379" max="5379" width="9.75" style="188" customWidth="1"/>
    <col min="5380" max="5380" width="7.875" style="188" customWidth="1"/>
    <col min="5381" max="5381" width="9.75" style="188" customWidth="1"/>
    <col min="5382" max="5382" width="7.875" style="188" customWidth="1"/>
    <col min="5383" max="5383" width="9.75" style="188" customWidth="1"/>
    <col min="5384" max="5384" width="8.625" style="188" customWidth="1"/>
    <col min="5385" max="5385" width="7.625" style="188" customWidth="1"/>
    <col min="5386" max="5387" width="9.75" style="188" customWidth="1"/>
    <col min="5388" max="5393" width="8.625" style="188" customWidth="1"/>
    <col min="5394" max="5394" width="9.75" style="188" customWidth="1"/>
    <col min="5395" max="5395" width="10.5" style="188" bestFit="1" customWidth="1"/>
    <col min="5396" max="5396" width="9" style="188"/>
    <col min="5397" max="5397" width="10.5" style="188" bestFit="1" customWidth="1"/>
    <col min="5398" max="5633" width="9" style="188"/>
    <col min="5634" max="5634" width="14.125" style="188" customWidth="1"/>
    <col min="5635" max="5635" width="9.75" style="188" customWidth="1"/>
    <col min="5636" max="5636" width="7.875" style="188" customWidth="1"/>
    <col min="5637" max="5637" width="9.75" style="188" customWidth="1"/>
    <col min="5638" max="5638" width="7.875" style="188" customWidth="1"/>
    <col min="5639" max="5639" width="9.75" style="188" customWidth="1"/>
    <col min="5640" max="5640" width="8.625" style="188" customWidth="1"/>
    <col min="5641" max="5641" width="7.625" style="188" customWidth="1"/>
    <col min="5642" max="5643" width="9.75" style="188" customWidth="1"/>
    <col min="5644" max="5649" width="8.625" style="188" customWidth="1"/>
    <col min="5650" max="5650" width="9.75" style="188" customWidth="1"/>
    <col min="5651" max="5651" width="10.5" style="188" bestFit="1" customWidth="1"/>
    <col min="5652" max="5652" width="9" style="188"/>
    <col min="5653" max="5653" width="10.5" style="188" bestFit="1" customWidth="1"/>
    <col min="5654" max="5889" width="9" style="188"/>
    <col min="5890" max="5890" width="14.125" style="188" customWidth="1"/>
    <col min="5891" max="5891" width="9.75" style="188" customWidth="1"/>
    <col min="5892" max="5892" width="7.875" style="188" customWidth="1"/>
    <col min="5893" max="5893" width="9.75" style="188" customWidth="1"/>
    <col min="5894" max="5894" width="7.875" style="188" customWidth="1"/>
    <col min="5895" max="5895" width="9.75" style="188" customWidth="1"/>
    <col min="5896" max="5896" width="8.625" style="188" customWidth="1"/>
    <col min="5897" max="5897" width="7.625" style="188" customWidth="1"/>
    <col min="5898" max="5899" width="9.75" style="188" customWidth="1"/>
    <col min="5900" max="5905" width="8.625" style="188" customWidth="1"/>
    <col min="5906" max="5906" width="9.75" style="188" customWidth="1"/>
    <col min="5907" max="5907" width="10.5" style="188" bestFit="1" customWidth="1"/>
    <col min="5908" max="5908" width="9" style="188"/>
    <col min="5909" max="5909" width="10.5" style="188" bestFit="1" customWidth="1"/>
    <col min="5910" max="6145" width="9" style="188"/>
    <col min="6146" max="6146" width="14.125" style="188" customWidth="1"/>
    <col min="6147" max="6147" width="9.75" style="188" customWidth="1"/>
    <col min="6148" max="6148" width="7.875" style="188" customWidth="1"/>
    <col min="6149" max="6149" width="9.75" style="188" customWidth="1"/>
    <col min="6150" max="6150" width="7.875" style="188" customWidth="1"/>
    <col min="6151" max="6151" width="9.75" style="188" customWidth="1"/>
    <col min="6152" max="6152" width="8.625" style="188" customWidth="1"/>
    <col min="6153" max="6153" width="7.625" style="188" customWidth="1"/>
    <col min="6154" max="6155" width="9.75" style="188" customWidth="1"/>
    <col min="6156" max="6161" width="8.625" style="188" customWidth="1"/>
    <col min="6162" max="6162" width="9.75" style="188" customWidth="1"/>
    <col min="6163" max="6163" width="10.5" style="188" bestFit="1" customWidth="1"/>
    <col min="6164" max="6164" width="9" style="188"/>
    <col min="6165" max="6165" width="10.5" style="188" bestFit="1" customWidth="1"/>
    <col min="6166" max="6401" width="9" style="188"/>
    <col min="6402" max="6402" width="14.125" style="188" customWidth="1"/>
    <col min="6403" max="6403" width="9.75" style="188" customWidth="1"/>
    <col min="6404" max="6404" width="7.875" style="188" customWidth="1"/>
    <col min="6405" max="6405" width="9.75" style="188" customWidth="1"/>
    <col min="6406" max="6406" width="7.875" style="188" customWidth="1"/>
    <col min="6407" max="6407" width="9.75" style="188" customWidth="1"/>
    <col min="6408" max="6408" width="8.625" style="188" customWidth="1"/>
    <col min="6409" max="6409" width="7.625" style="188" customWidth="1"/>
    <col min="6410" max="6411" width="9.75" style="188" customWidth="1"/>
    <col min="6412" max="6417" width="8.625" style="188" customWidth="1"/>
    <col min="6418" max="6418" width="9.75" style="188" customWidth="1"/>
    <col min="6419" max="6419" width="10.5" style="188" bestFit="1" customWidth="1"/>
    <col min="6420" max="6420" width="9" style="188"/>
    <col min="6421" max="6421" width="10.5" style="188" bestFit="1" customWidth="1"/>
    <col min="6422" max="6657" width="9" style="188"/>
    <col min="6658" max="6658" width="14.125" style="188" customWidth="1"/>
    <col min="6659" max="6659" width="9.75" style="188" customWidth="1"/>
    <col min="6660" max="6660" width="7.875" style="188" customWidth="1"/>
    <col min="6661" max="6661" width="9.75" style="188" customWidth="1"/>
    <col min="6662" max="6662" width="7.875" style="188" customWidth="1"/>
    <col min="6663" max="6663" width="9.75" style="188" customWidth="1"/>
    <col min="6664" max="6664" width="8.625" style="188" customWidth="1"/>
    <col min="6665" max="6665" width="7.625" style="188" customWidth="1"/>
    <col min="6666" max="6667" width="9.75" style="188" customWidth="1"/>
    <col min="6668" max="6673" width="8.625" style="188" customWidth="1"/>
    <col min="6674" max="6674" width="9.75" style="188" customWidth="1"/>
    <col min="6675" max="6675" width="10.5" style="188" bestFit="1" customWidth="1"/>
    <col min="6676" max="6676" width="9" style="188"/>
    <col min="6677" max="6677" width="10.5" style="188" bestFit="1" customWidth="1"/>
    <col min="6678" max="6913" width="9" style="188"/>
    <col min="6914" max="6914" width="14.125" style="188" customWidth="1"/>
    <col min="6915" max="6915" width="9.75" style="188" customWidth="1"/>
    <col min="6916" max="6916" width="7.875" style="188" customWidth="1"/>
    <col min="6917" max="6917" width="9.75" style="188" customWidth="1"/>
    <col min="6918" max="6918" width="7.875" style="188" customWidth="1"/>
    <col min="6919" max="6919" width="9.75" style="188" customWidth="1"/>
    <col min="6920" max="6920" width="8.625" style="188" customWidth="1"/>
    <col min="6921" max="6921" width="7.625" style="188" customWidth="1"/>
    <col min="6922" max="6923" width="9.75" style="188" customWidth="1"/>
    <col min="6924" max="6929" width="8.625" style="188" customWidth="1"/>
    <col min="6930" max="6930" width="9.75" style="188" customWidth="1"/>
    <col min="6931" max="6931" width="10.5" style="188" bestFit="1" customWidth="1"/>
    <col min="6932" max="6932" width="9" style="188"/>
    <col min="6933" max="6933" width="10.5" style="188" bestFit="1" customWidth="1"/>
    <col min="6934" max="7169" width="9" style="188"/>
    <col min="7170" max="7170" width="14.125" style="188" customWidth="1"/>
    <col min="7171" max="7171" width="9.75" style="188" customWidth="1"/>
    <col min="7172" max="7172" width="7.875" style="188" customWidth="1"/>
    <col min="7173" max="7173" width="9.75" style="188" customWidth="1"/>
    <col min="7174" max="7174" width="7.875" style="188" customWidth="1"/>
    <col min="7175" max="7175" width="9.75" style="188" customWidth="1"/>
    <col min="7176" max="7176" width="8.625" style="188" customWidth="1"/>
    <col min="7177" max="7177" width="7.625" style="188" customWidth="1"/>
    <col min="7178" max="7179" width="9.75" style="188" customWidth="1"/>
    <col min="7180" max="7185" width="8.625" style="188" customWidth="1"/>
    <col min="7186" max="7186" width="9.75" style="188" customWidth="1"/>
    <col min="7187" max="7187" width="10.5" style="188" bestFit="1" customWidth="1"/>
    <col min="7188" max="7188" width="9" style="188"/>
    <col min="7189" max="7189" width="10.5" style="188" bestFit="1" customWidth="1"/>
    <col min="7190" max="7425" width="9" style="188"/>
    <col min="7426" max="7426" width="14.125" style="188" customWidth="1"/>
    <col min="7427" max="7427" width="9.75" style="188" customWidth="1"/>
    <col min="7428" max="7428" width="7.875" style="188" customWidth="1"/>
    <col min="7429" max="7429" width="9.75" style="188" customWidth="1"/>
    <col min="7430" max="7430" width="7.875" style="188" customWidth="1"/>
    <col min="7431" max="7431" width="9.75" style="188" customWidth="1"/>
    <col min="7432" max="7432" width="8.625" style="188" customWidth="1"/>
    <col min="7433" max="7433" width="7.625" style="188" customWidth="1"/>
    <col min="7434" max="7435" width="9.75" style="188" customWidth="1"/>
    <col min="7436" max="7441" width="8.625" style="188" customWidth="1"/>
    <col min="7442" max="7442" width="9.75" style="188" customWidth="1"/>
    <col min="7443" max="7443" width="10.5" style="188" bestFit="1" customWidth="1"/>
    <col min="7444" max="7444" width="9" style="188"/>
    <col min="7445" max="7445" width="10.5" style="188" bestFit="1" customWidth="1"/>
    <col min="7446" max="7681" width="9" style="188"/>
    <col min="7682" max="7682" width="14.125" style="188" customWidth="1"/>
    <col min="7683" max="7683" width="9.75" style="188" customWidth="1"/>
    <col min="7684" max="7684" width="7.875" style="188" customWidth="1"/>
    <col min="7685" max="7685" width="9.75" style="188" customWidth="1"/>
    <col min="7686" max="7686" width="7.875" style="188" customWidth="1"/>
    <col min="7687" max="7687" width="9.75" style="188" customWidth="1"/>
    <col min="7688" max="7688" width="8.625" style="188" customWidth="1"/>
    <col min="7689" max="7689" width="7.625" style="188" customWidth="1"/>
    <col min="7690" max="7691" width="9.75" style="188" customWidth="1"/>
    <col min="7692" max="7697" width="8.625" style="188" customWidth="1"/>
    <col min="7698" max="7698" width="9.75" style="188" customWidth="1"/>
    <col min="7699" max="7699" width="10.5" style="188" bestFit="1" customWidth="1"/>
    <col min="7700" max="7700" width="9" style="188"/>
    <col min="7701" max="7701" width="10.5" style="188" bestFit="1" customWidth="1"/>
    <col min="7702" max="7937" width="9" style="188"/>
    <col min="7938" max="7938" width="14.125" style="188" customWidth="1"/>
    <col min="7939" max="7939" width="9.75" style="188" customWidth="1"/>
    <col min="7940" max="7940" width="7.875" style="188" customWidth="1"/>
    <col min="7941" max="7941" width="9.75" style="188" customWidth="1"/>
    <col min="7942" max="7942" width="7.875" style="188" customWidth="1"/>
    <col min="7943" max="7943" width="9.75" style="188" customWidth="1"/>
    <col min="7944" max="7944" width="8.625" style="188" customWidth="1"/>
    <col min="7945" max="7945" width="7.625" style="188" customWidth="1"/>
    <col min="7946" max="7947" width="9.75" style="188" customWidth="1"/>
    <col min="7948" max="7953" width="8.625" style="188" customWidth="1"/>
    <col min="7954" max="7954" width="9.75" style="188" customWidth="1"/>
    <col min="7955" max="7955" width="10.5" style="188" bestFit="1" customWidth="1"/>
    <col min="7956" max="7956" width="9" style="188"/>
    <col min="7957" max="7957" width="10.5" style="188" bestFit="1" customWidth="1"/>
    <col min="7958" max="8193" width="9" style="188"/>
    <col min="8194" max="8194" width="14.125" style="188" customWidth="1"/>
    <col min="8195" max="8195" width="9.75" style="188" customWidth="1"/>
    <col min="8196" max="8196" width="7.875" style="188" customWidth="1"/>
    <col min="8197" max="8197" width="9.75" style="188" customWidth="1"/>
    <col min="8198" max="8198" width="7.875" style="188" customWidth="1"/>
    <col min="8199" max="8199" width="9.75" style="188" customWidth="1"/>
    <col min="8200" max="8200" width="8.625" style="188" customWidth="1"/>
    <col min="8201" max="8201" width="7.625" style="188" customWidth="1"/>
    <col min="8202" max="8203" width="9.75" style="188" customWidth="1"/>
    <col min="8204" max="8209" width="8.625" style="188" customWidth="1"/>
    <col min="8210" max="8210" width="9.75" style="188" customWidth="1"/>
    <col min="8211" max="8211" width="10.5" style="188" bestFit="1" customWidth="1"/>
    <col min="8212" max="8212" width="9" style="188"/>
    <col min="8213" max="8213" width="10.5" style="188" bestFit="1" customWidth="1"/>
    <col min="8214" max="8449" width="9" style="188"/>
    <col min="8450" max="8450" width="14.125" style="188" customWidth="1"/>
    <col min="8451" max="8451" width="9.75" style="188" customWidth="1"/>
    <col min="8452" max="8452" width="7.875" style="188" customWidth="1"/>
    <col min="8453" max="8453" width="9.75" style="188" customWidth="1"/>
    <col min="8454" max="8454" width="7.875" style="188" customWidth="1"/>
    <col min="8455" max="8455" width="9.75" style="188" customWidth="1"/>
    <col min="8456" max="8456" width="8.625" style="188" customWidth="1"/>
    <col min="8457" max="8457" width="7.625" style="188" customWidth="1"/>
    <col min="8458" max="8459" width="9.75" style="188" customWidth="1"/>
    <col min="8460" max="8465" width="8.625" style="188" customWidth="1"/>
    <col min="8466" max="8466" width="9.75" style="188" customWidth="1"/>
    <col min="8467" max="8467" width="10.5" style="188" bestFit="1" customWidth="1"/>
    <col min="8468" max="8468" width="9" style="188"/>
    <col min="8469" max="8469" width="10.5" style="188" bestFit="1" customWidth="1"/>
    <col min="8470" max="8705" width="9" style="188"/>
    <col min="8706" max="8706" width="14.125" style="188" customWidth="1"/>
    <col min="8707" max="8707" width="9.75" style="188" customWidth="1"/>
    <col min="8708" max="8708" width="7.875" style="188" customWidth="1"/>
    <col min="8709" max="8709" width="9.75" style="188" customWidth="1"/>
    <col min="8710" max="8710" width="7.875" style="188" customWidth="1"/>
    <col min="8711" max="8711" width="9.75" style="188" customWidth="1"/>
    <col min="8712" max="8712" width="8.625" style="188" customWidth="1"/>
    <col min="8713" max="8713" width="7.625" style="188" customWidth="1"/>
    <col min="8714" max="8715" width="9.75" style="188" customWidth="1"/>
    <col min="8716" max="8721" width="8.625" style="188" customWidth="1"/>
    <col min="8722" max="8722" width="9.75" style="188" customWidth="1"/>
    <col min="8723" max="8723" width="10.5" style="188" bestFit="1" customWidth="1"/>
    <col min="8724" max="8724" width="9" style="188"/>
    <col min="8725" max="8725" width="10.5" style="188" bestFit="1" customWidth="1"/>
    <col min="8726" max="8961" width="9" style="188"/>
    <col min="8962" max="8962" width="14.125" style="188" customWidth="1"/>
    <col min="8963" max="8963" width="9.75" style="188" customWidth="1"/>
    <col min="8964" max="8964" width="7.875" style="188" customWidth="1"/>
    <col min="8965" max="8965" width="9.75" style="188" customWidth="1"/>
    <col min="8966" max="8966" width="7.875" style="188" customWidth="1"/>
    <col min="8967" max="8967" width="9.75" style="188" customWidth="1"/>
    <col min="8968" max="8968" width="8.625" style="188" customWidth="1"/>
    <col min="8969" max="8969" width="7.625" style="188" customWidth="1"/>
    <col min="8970" max="8971" width="9.75" style="188" customWidth="1"/>
    <col min="8972" max="8977" width="8.625" style="188" customWidth="1"/>
    <col min="8978" max="8978" width="9.75" style="188" customWidth="1"/>
    <col min="8979" max="8979" width="10.5" style="188" bestFit="1" customWidth="1"/>
    <col min="8980" max="8980" width="9" style="188"/>
    <col min="8981" max="8981" width="10.5" style="188" bestFit="1" customWidth="1"/>
    <col min="8982" max="9217" width="9" style="188"/>
    <col min="9218" max="9218" width="14.125" style="188" customWidth="1"/>
    <col min="9219" max="9219" width="9.75" style="188" customWidth="1"/>
    <col min="9220" max="9220" width="7.875" style="188" customWidth="1"/>
    <col min="9221" max="9221" width="9.75" style="188" customWidth="1"/>
    <col min="9222" max="9222" width="7.875" style="188" customWidth="1"/>
    <col min="9223" max="9223" width="9.75" style="188" customWidth="1"/>
    <col min="9224" max="9224" width="8.625" style="188" customWidth="1"/>
    <col min="9225" max="9225" width="7.625" style="188" customWidth="1"/>
    <col min="9226" max="9227" width="9.75" style="188" customWidth="1"/>
    <col min="9228" max="9233" width="8.625" style="188" customWidth="1"/>
    <col min="9234" max="9234" width="9.75" style="188" customWidth="1"/>
    <col min="9235" max="9235" width="10.5" style="188" bestFit="1" customWidth="1"/>
    <col min="9236" max="9236" width="9" style="188"/>
    <col min="9237" max="9237" width="10.5" style="188" bestFit="1" customWidth="1"/>
    <col min="9238" max="9473" width="9" style="188"/>
    <col min="9474" max="9474" width="14.125" style="188" customWidth="1"/>
    <col min="9475" max="9475" width="9.75" style="188" customWidth="1"/>
    <col min="9476" max="9476" width="7.875" style="188" customWidth="1"/>
    <col min="9477" max="9477" width="9.75" style="188" customWidth="1"/>
    <col min="9478" max="9478" width="7.875" style="188" customWidth="1"/>
    <col min="9479" max="9479" width="9.75" style="188" customWidth="1"/>
    <col min="9480" max="9480" width="8.625" style="188" customWidth="1"/>
    <col min="9481" max="9481" width="7.625" style="188" customWidth="1"/>
    <col min="9482" max="9483" width="9.75" style="188" customWidth="1"/>
    <col min="9484" max="9489" width="8.625" style="188" customWidth="1"/>
    <col min="9490" max="9490" width="9.75" style="188" customWidth="1"/>
    <col min="9491" max="9491" width="10.5" style="188" bestFit="1" customWidth="1"/>
    <col min="9492" max="9492" width="9" style="188"/>
    <col min="9493" max="9493" width="10.5" style="188" bestFit="1" customWidth="1"/>
    <col min="9494" max="9729" width="9" style="188"/>
    <col min="9730" max="9730" width="14.125" style="188" customWidth="1"/>
    <col min="9731" max="9731" width="9.75" style="188" customWidth="1"/>
    <col min="9732" max="9732" width="7.875" style="188" customWidth="1"/>
    <col min="9733" max="9733" width="9.75" style="188" customWidth="1"/>
    <col min="9734" max="9734" width="7.875" style="188" customWidth="1"/>
    <col min="9735" max="9735" width="9.75" style="188" customWidth="1"/>
    <col min="9736" max="9736" width="8.625" style="188" customWidth="1"/>
    <col min="9737" max="9737" width="7.625" style="188" customWidth="1"/>
    <col min="9738" max="9739" width="9.75" style="188" customWidth="1"/>
    <col min="9740" max="9745" width="8.625" style="188" customWidth="1"/>
    <col min="9746" max="9746" width="9.75" style="188" customWidth="1"/>
    <col min="9747" max="9747" width="10.5" style="188" bestFit="1" customWidth="1"/>
    <col min="9748" max="9748" width="9" style="188"/>
    <col min="9749" max="9749" width="10.5" style="188" bestFit="1" customWidth="1"/>
    <col min="9750" max="9985" width="9" style="188"/>
    <col min="9986" max="9986" width="14.125" style="188" customWidth="1"/>
    <col min="9987" max="9987" width="9.75" style="188" customWidth="1"/>
    <col min="9988" max="9988" width="7.875" style="188" customWidth="1"/>
    <col min="9989" max="9989" width="9.75" style="188" customWidth="1"/>
    <col min="9990" max="9990" width="7.875" style="188" customWidth="1"/>
    <col min="9991" max="9991" width="9.75" style="188" customWidth="1"/>
    <col min="9992" max="9992" width="8.625" style="188" customWidth="1"/>
    <col min="9993" max="9993" width="7.625" style="188" customWidth="1"/>
    <col min="9994" max="9995" width="9.75" style="188" customWidth="1"/>
    <col min="9996" max="10001" width="8.625" style="188" customWidth="1"/>
    <col min="10002" max="10002" width="9.75" style="188" customWidth="1"/>
    <col min="10003" max="10003" width="10.5" style="188" bestFit="1" customWidth="1"/>
    <col min="10004" max="10004" width="9" style="188"/>
    <col min="10005" max="10005" width="10.5" style="188" bestFit="1" customWidth="1"/>
    <col min="10006" max="10241" width="9" style="188"/>
    <col min="10242" max="10242" width="14.125" style="188" customWidth="1"/>
    <col min="10243" max="10243" width="9.75" style="188" customWidth="1"/>
    <col min="10244" max="10244" width="7.875" style="188" customWidth="1"/>
    <col min="10245" max="10245" width="9.75" style="188" customWidth="1"/>
    <col min="10246" max="10246" width="7.875" style="188" customWidth="1"/>
    <col min="10247" max="10247" width="9.75" style="188" customWidth="1"/>
    <col min="10248" max="10248" width="8.625" style="188" customWidth="1"/>
    <col min="10249" max="10249" width="7.625" style="188" customWidth="1"/>
    <col min="10250" max="10251" width="9.75" style="188" customWidth="1"/>
    <col min="10252" max="10257" width="8.625" style="188" customWidth="1"/>
    <col min="10258" max="10258" width="9.75" style="188" customWidth="1"/>
    <col min="10259" max="10259" width="10.5" style="188" bestFit="1" customWidth="1"/>
    <col min="10260" max="10260" width="9" style="188"/>
    <col min="10261" max="10261" width="10.5" style="188" bestFit="1" customWidth="1"/>
    <col min="10262" max="10497" width="9" style="188"/>
    <col min="10498" max="10498" width="14.125" style="188" customWidth="1"/>
    <col min="10499" max="10499" width="9.75" style="188" customWidth="1"/>
    <col min="10500" max="10500" width="7.875" style="188" customWidth="1"/>
    <col min="10501" max="10501" width="9.75" style="188" customWidth="1"/>
    <col min="10502" max="10502" width="7.875" style="188" customWidth="1"/>
    <col min="10503" max="10503" width="9.75" style="188" customWidth="1"/>
    <col min="10504" max="10504" width="8.625" style="188" customWidth="1"/>
    <col min="10505" max="10505" width="7.625" style="188" customWidth="1"/>
    <col min="10506" max="10507" width="9.75" style="188" customWidth="1"/>
    <col min="10508" max="10513" width="8.625" style="188" customWidth="1"/>
    <col min="10514" max="10514" width="9.75" style="188" customWidth="1"/>
    <col min="10515" max="10515" width="10.5" style="188" bestFit="1" customWidth="1"/>
    <col min="10516" max="10516" width="9" style="188"/>
    <col min="10517" max="10517" width="10.5" style="188" bestFit="1" customWidth="1"/>
    <col min="10518" max="10753" width="9" style="188"/>
    <col min="10754" max="10754" width="14.125" style="188" customWidth="1"/>
    <col min="10755" max="10755" width="9.75" style="188" customWidth="1"/>
    <col min="10756" max="10756" width="7.875" style="188" customWidth="1"/>
    <col min="10757" max="10757" width="9.75" style="188" customWidth="1"/>
    <col min="10758" max="10758" width="7.875" style="188" customWidth="1"/>
    <col min="10759" max="10759" width="9.75" style="188" customWidth="1"/>
    <col min="10760" max="10760" width="8.625" style="188" customWidth="1"/>
    <col min="10761" max="10761" width="7.625" style="188" customWidth="1"/>
    <col min="10762" max="10763" width="9.75" style="188" customWidth="1"/>
    <col min="10764" max="10769" width="8.625" style="188" customWidth="1"/>
    <col min="10770" max="10770" width="9.75" style="188" customWidth="1"/>
    <col min="10771" max="10771" width="10.5" style="188" bestFit="1" customWidth="1"/>
    <col min="10772" max="10772" width="9" style="188"/>
    <col min="10773" max="10773" width="10.5" style="188" bestFit="1" customWidth="1"/>
    <col min="10774" max="11009" width="9" style="188"/>
    <col min="11010" max="11010" width="14.125" style="188" customWidth="1"/>
    <col min="11011" max="11011" width="9.75" style="188" customWidth="1"/>
    <col min="11012" max="11012" width="7.875" style="188" customWidth="1"/>
    <col min="11013" max="11013" width="9.75" style="188" customWidth="1"/>
    <col min="11014" max="11014" width="7.875" style="188" customWidth="1"/>
    <col min="11015" max="11015" width="9.75" style="188" customWidth="1"/>
    <col min="11016" max="11016" width="8.625" style="188" customWidth="1"/>
    <col min="11017" max="11017" width="7.625" style="188" customWidth="1"/>
    <col min="11018" max="11019" width="9.75" style="188" customWidth="1"/>
    <col min="11020" max="11025" width="8.625" style="188" customWidth="1"/>
    <col min="11026" max="11026" width="9.75" style="188" customWidth="1"/>
    <col min="11027" max="11027" width="10.5" style="188" bestFit="1" customWidth="1"/>
    <col min="11028" max="11028" width="9" style="188"/>
    <col min="11029" max="11029" width="10.5" style="188" bestFit="1" customWidth="1"/>
    <col min="11030" max="11265" width="9" style="188"/>
    <col min="11266" max="11266" width="14.125" style="188" customWidth="1"/>
    <col min="11267" max="11267" width="9.75" style="188" customWidth="1"/>
    <col min="11268" max="11268" width="7.875" style="188" customWidth="1"/>
    <col min="11269" max="11269" width="9.75" style="188" customWidth="1"/>
    <col min="11270" max="11270" width="7.875" style="188" customWidth="1"/>
    <col min="11271" max="11271" width="9.75" style="188" customWidth="1"/>
    <col min="11272" max="11272" width="8.625" style="188" customWidth="1"/>
    <col min="11273" max="11273" width="7.625" style="188" customWidth="1"/>
    <col min="11274" max="11275" width="9.75" style="188" customWidth="1"/>
    <col min="11276" max="11281" width="8.625" style="188" customWidth="1"/>
    <col min="11282" max="11282" width="9.75" style="188" customWidth="1"/>
    <col min="11283" max="11283" width="10.5" style="188" bestFit="1" customWidth="1"/>
    <col min="11284" max="11284" width="9" style="188"/>
    <col min="11285" max="11285" width="10.5" style="188" bestFit="1" customWidth="1"/>
    <col min="11286" max="11521" width="9" style="188"/>
    <col min="11522" max="11522" width="14.125" style="188" customWidth="1"/>
    <col min="11523" max="11523" width="9.75" style="188" customWidth="1"/>
    <col min="11524" max="11524" width="7.875" style="188" customWidth="1"/>
    <col min="11525" max="11525" width="9.75" style="188" customWidth="1"/>
    <col min="11526" max="11526" width="7.875" style="188" customWidth="1"/>
    <col min="11527" max="11527" width="9.75" style="188" customWidth="1"/>
    <col min="11528" max="11528" width="8.625" style="188" customWidth="1"/>
    <col min="11529" max="11529" width="7.625" style="188" customWidth="1"/>
    <col min="11530" max="11531" width="9.75" style="188" customWidth="1"/>
    <col min="11532" max="11537" width="8.625" style="188" customWidth="1"/>
    <col min="11538" max="11538" width="9.75" style="188" customWidth="1"/>
    <col min="11539" max="11539" width="10.5" style="188" bestFit="1" customWidth="1"/>
    <col min="11540" max="11540" width="9" style="188"/>
    <col min="11541" max="11541" width="10.5" style="188" bestFit="1" customWidth="1"/>
    <col min="11542" max="11777" width="9" style="188"/>
    <col min="11778" max="11778" width="14.125" style="188" customWidth="1"/>
    <col min="11779" max="11779" width="9.75" style="188" customWidth="1"/>
    <col min="11780" max="11780" width="7.875" style="188" customWidth="1"/>
    <col min="11781" max="11781" width="9.75" style="188" customWidth="1"/>
    <col min="11782" max="11782" width="7.875" style="188" customWidth="1"/>
    <col min="11783" max="11783" width="9.75" style="188" customWidth="1"/>
    <col min="11784" max="11784" width="8.625" style="188" customWidth="1"/>
    <col min="11785" max="11785" width="7.625" style="188" customWidth="1"/>
    <col min="11786" max="11787" width="9.75" style="188" customWidth="1"/>
    <col min="11788" max="11793" width="8.625" style="188" customWidth="1"/>
    <col min="11794" max="11794" width="9.75" style="188" customWidth="1"/>
    <col min="11795" max="11795" width="10.5" style="188" bestFit="1" customWidth="1"/>
    <col min="11796" max="11796" width="9" style="188"/>
    <col min="11797" max="11797" width="10.5" style="188" bestFit="1" customWidth="1"/>
    <col min="11798" max="12033" width="9" style="188"/>
    <col min="12034" max="12034" width="14.125" style="188" customWidth="1"/>
    <col min="12035" max="12035" width="9.75" style="188" customWidth="1"/>
    <col min="12036" max="12036" width="7.875" style="188" customWidth="1"/>
    <col min="12037" max="12037" width="9.75" style="188" customWidth="1"/>
    <col min="12038" max="12038" width="7.875" style="188" customWidth="1"/>
    <col min="12039" max="12039" width="9.75" style="188" customWidth="1"/>
    <col min="12040" max="12040" width="8.625" style="188" customWidth="1"/>
    <col min="12041" max="12041" width="7.625" style="188" customWidth="1"/>
    <col min="12042" max="12043" width="9.75" style="188" customWidth="1"/>
    <col min="12044" max="12049" width="8.625" style="188" customWidth="1"/>
    <col min="12050" max="12050" width="9.75" style="188" customWidth="1"/>
    <col min="12051" max="12051" width="10.5" style="188" bestFit="1" customWidth="1"/>
    <col min="12052" max="12052" width="9" style="188"/>
    <col min="12053" max="12053" width="10.5" style="188" bestFit="1" customWidth="1"/>
    <col min="12054" max="12289" width="9" style="188"/>
    <col min="12290" max="12290" width="14.125" style="188" customWidth="1"/>
    <col min="12291" max="12291" width="9.75" style="188" customWidth="1"/>
    <col min="12292" max="12292" width="7.875" style="188" customWidth="1"/>
    <col min="12293" max="12293" width="9.75" style="188" customWidth="1"/>
    <col min="12294" max="12294" width="7.875" style="188" customWidth="1"/>
    <col min="12295" max="12295" width="9.75" style="188" customWidth="1"/>
    <col min="12296" max="12296" width="8.625" style="188" customWidth="1"/>
    <col min="12297" max="12297" width="7.625" style="188" customWidth="1"/>
    <col min="12298" max="12299" width="9.75" style="188" customWidth="1"/>
    <col min="12300" max="12305" width="8.625" style="188" customWidth="1"/>
    <col min="12306" max="12306" width="9.75" style="188" customWidth="1"/>
    <col min="12307" max="12307" width="10.5" style="188" bestFit="1" customWidth="1"/>
    <col min="12308" max="12308" width="9" style="188"/>
    <col min="12309" max="12309" width="10.5" style="188" bestFit="1" customWidth="1"/>
    <col min="12310" max="12545" width="9" style="188"/>
    <col min="12546" max="12546" width="14.125" style="188" customWidth="1"/>
    <col min="12547" max="12547" width="9.75" style="188" customWidth="1"/>
    <col min="12548" max="12548" width="7.875" style="188" customWidth="1"/>
    <col min="12549" max="12549" width="9.75" style="188" customWidth="1"/>
    <col min="12550" max="12550" width="7.875" style="188" customWidth="1"/>
    <col min="12551" max="12551" width="9.75" style="188" customWidth="1"/>
    <col min="12552" max="12552" width="8.625" style="188" customWidth="1"/>
    <col min="12553" max="12553" width="7.625" style="188" customWidth="1"/>
    <col min="12554" max="12555" width="9.75" style="188" customWidth="1"/>
    <col min="12556" max="12561" width="8.625" style="188" customWidth="1"/>
    <col min="12562" max="12562" width="9.75" style="188" customWidth="1"/>
    <col min="12563" max="12563" width="10.5" style="188" bestFit="1" customWidth="1"/>
    <col min="12564" max="12564" width="9" style="188"/>
    <col min="12565" max="12565" width="10.5" style="188" bestFit="1" customWidth="1"/>
    <col min="12566" max="12801" width="9" style="188"/>
    <col min="12802" max="12802" width="14.125" style="188" customWidth="1"/>
    <col min="12803" max="12803" width="9.75" style="188" customWidth="1"/>
    <col min="12804" max="12804" width="7.875" style="188" customWidth="1"/>
    <col min="12805" max="12805" width="9.75" style="188" customWidth="1"/>
    <col min="12806" max="12806" width="7.875" style="188" customWidth="1"/>
    <col min="12807" max="12807" width="9.75" style="188" customWidth="1"/>
    <col min="12808" max="12808" width="8.625" style="188" customWidth="1"/>
    <col min="12809" max="12809" width="7.625" style="188" customWidth="1"/>
    <col min="12810" max="12811" width="9.75" style="188" customWidth="1"/>
    <col min="12812" max="12817" width="8.625" style="188" customWidth="1"/>
    <col min="12818" max="12818" width="9.75" style="188" customWidth="1"/>
    <col min="12819" max="12819" width="10.5" style="188" bestFit="1" customWidth="1"/>
    <col min="12820" max="12820" width="9" style="188"/>
    <col min="12821" max="12821" width="10.5" style="188" bestFit="1" customWidth="1"/>
    <col min="12822" max="13057" width="9" style="188"/>
    <col min="13058" max="13058" width="14.125" style="188" customWidth="1"/>
    <col min="13059" max="13059" width="9.75" style="188" customWidth="1"/>
    <col min="13060" max="13060" width="7.875" style="188" customWidth="1"/>
    <col min="13061" max="13061" width="9.75" style="188" customWidth="1"/>
    <col min="13062" max="13062" width="7.875" style="188" customWidth="1"/>
    <col min="13063" max="13063" width="9.75" style="188" customWidth="1"/>
    <col min="13064" max="13064" width="8.625" style="188" customWidth="1"/>
    <col min="13065" max="13065" width="7.625" style="188" customWidth="1"/>
    <col min="13066" max="13067" width="9.75" style="188" customWidth="1"/>
    <col min="13068" max="13073" width="8.625" style="188" customWidth="1"/>
    <col min="13074" max="13074" width="9.75" style="188" customWidth="1"/>
    <col min="13075" max="13075" width="10.5" style="188" bestFit="1" customWidth="1"/>
    <col min="13076" max="13076" width="9" style="188"/>
    <col min="13077" max="13077" width="10.5" style="188" bestFit="1" customWidth="1"/>
    <col min="13078" max="13313" width="9" style="188"/>
    <col min="13314" max="13314" width="14.125" style="188" customWidth="1"/>
    <col min="13315" max="13315" width="9.75" style="188" customWidth="1"/>
    <col min="13316" max="13316" width="7.875" style="188" customWidth="1"/>
    <col min="13317" max="13317" width="9.75" style="188" customWidth="1"/>
    <col min="13318" max="13318" width="7.875" style="188" customWidth="1"/>
    <col min="13319" max="13319" width="9.75" style="188" customWidth="1"/>
    <col min="13320" max="13320" width="8.625" style="188" customWidth="1"/>
    <col min="13321" max="13321" width="7.625" style="188" customWidth="1"/>
    <col min="13322" max="13323" width="9.75" style="188" customWidth="1"/>
    <col min="13324" max="13329" width="8.625" style="188" customWidth="1"/>
    <col min="13330" max="13330" width="9.75" style="188" customWidth="1"/>
    <col min="13331" max="13331" width="10.5" style="188" bestFit="1" customWidth="1"/>
    <col min="13332" max="13332" width="9" style="188"/>
    <col min="13333" max="13333" width="10.5" style="188" bestFit="1" customWidth="1"/>
    <col min="13334" max="13569" width="9" style="188"/>
    <col min="13570" max="13570" width="14.125" style="188" customWidth="1"/>
    <col min="13571" max="13571" width="9.75" style="188" customWidth="1"/>
    <col min="13572" max="13572" width="7.875" style="188" customWidth="1"/>
    <col min="13573" max="13573" width="9.75" style="188" customWidth="1"/>
    <col min="13574" max="13574" width="7.875" style="188" customWidth="1"/>
    <col min="13575" max="13575" width="9.75" style="188" customWidth="1"/>
    <col min="13576" max="13576" width="8.625" style="188" customWidth="1"/>
    <col min="13577" max="13577" width="7.625" style="188" customWidth="1"/>
    <col min="13578" max="13579" width="9.75" style="188" customWidth="1"/>
    <col min="13580" max="13585" width="8.625" style="188" customWidth="1"/>
    <col min="13586" max="13586" width="9.75" style="188" customWidth="1"/>
    <col min="13587" max="13587" width="10.5" style="188" bestFit="1" customWidth="1"/>
    <col min="13588" max="13588" width="9" style="188"/>
    <col min="13589" max="13589" width="10.5" style="188" bestFit="1" customWidth="1"/>
    <col min="13590" max="13825" width="9" style="188"/>
    <col min="13826" max="13826" width="14.125" style="188" customWidth="1"/>
    <col min="13827" max="13827" width="9.75" style="188" customWidth="1"/>
    <col min="13828" max="13828" width="7.875" style="188" customWidth="1"/>
    <col min="13829" max="13829" width="9.75" style="188" customWidth="1"/>
    <col min="13830" max="13830" width="7.875" style="188" customWidth="1"/>
    <col min="13831" max="13831" width="9.75" style="188" customWidth="1"/>
    <col min="13832" max="13832" width="8.625" style="188" customWidth="1"/>
    <col min="13833" max="13833" width="7.625" style="188" customWidth="1"/>
    <col min="13834" max="13835" width="9.75" style="188" customWidth="1"/>
    <col min="13836" max="13841" width="8.625" style="188" customWidth="1"/>
    <col min="13842" max="13842" width="9.75" style="188" customWidth="1"/>
    <col min="13843" max="13843" width="10.5" style="188" bestFit="1" customWidth="1"/>
    <col min="13844" max="13844" width="9" style="188"/>
    <col min="13845" max="13845" width="10.5" style="188" bestFit="1" customWidth="1"/>
    <col min="13846" max="14081" width="9" style="188"/>
    <col min="14082" max="14082" width="14.125" style="188" customWidth="1"/>
    <col min="14083" max="14083" width="9.75" style="188" customWidth="1"/>
    <col min="14084" max="14084" width="7.875" style="188" customWidth="1"/>
    <col min="14085" max="14085" width="9.75" style="188" customWidth="1"/>
    <col min="14086" max="14086" width="7.875" style="188" customWidth="1"/>
    <col min="14087" max="14087" width="9.75" style="188" customWidth="1"/>
    <col min="14088" max="14088" width="8.625" style="188" customWidth="1"/>
    <col min="14089" max="14089" width="7.625" style="188" customWidth="1"/>
    <col min="14090" max="14091" width="9.75" style="188" customWidth="1"/>
    <col min="14092" max="14097" width="8.625" style="188" customWidth="1"/>
    <col min="14098" max="14098" width="9.75" style="188" customWidth="1"/>
    <col min="14099" max="14099" width="10.5" style="188" bestFit="1" customWidth="1"/>
    <col min="14100" max="14100" width="9" style="188"/>
    <col min="14101" max="14101" width="10.5" style="188" bestFit="1" customWidth="1"/>
    <col min="14102" max="14337" width="9" style="188"/>
    <col min="14338" max="14338" width="14.125" style="188" customWidth="1"/>
    <col min="14339" max="14339" width="9.75" style="188" customWidth="1"/>
    <col min="14340" max="14340" width="7.875" style="188" customWidth="1"/>
    <col min="14341" max="14341" width="9.75" style="188" customWidth="1"/>
    <col min="14342" max="14342" width="7.875" style="188" customWidth="1"/>
    <col min="14343" max="14343" width="9.75" style="188" customWidth="1"/>
    <col min="14344" max="14344" width="8.625" style="188" customWidth="1"/>
    <col min="14345" max="14345" width="7.625" style="188" customWidth="1"/>
    <col min="14346" max="14347" width="9.75" style="188" customWidth="1"/>
    <col min="14348" max="14353" width="8.625" style="188" customWidth="1"/>
    <col min="14354" max="14354" width="9.75" style="188" customWidth="1"/>
    <col min="14355" max="14355" width="10.5" style="188" bestFit="1" customWidth="1"/>
    <col min="14356" max="14356" width="9" style="188"/>
    <col min="14357" max="14357" width="10.5" style="188" bestFit="1" customWidth="1"/>
    <col min="14358" max="14593" width="9" style="188"/>
    <col min="14594" max="14594" width="14.125" style="188" customWidth="1"/>
    <col min="14595" max="14595" width="9.75" style="188" customWidth="1"/>
    <col min="14596" max="14596" width="7.875" style="188" customWidth="1"/>
    <col min="14597" max="14597" width="9.75" style="188" customWidth="1"/>
    <col min="14598" max="14598" width="7.875" style="188" customWidth="1"/>
    <col min="14599" max="14599" width="9.75" style="188" customWidth="1"/>
    <col min="14600" max="14600" width="8.625" style="188" customWidth="1"/>
    <col min="14601" max="14601" width="7.625" style="188" customWidth="1"/>
    <col min="14602" max="14603" width="9.75" style="188" customWidth="1"/>
    <col min="14604" max="14609" width="8.625" style="188" customWidth="1"/>
    <col min="14610" max="14610" width="9.75" style="188" customWidth="1"/>
    <col min="14611" max="14611" width="10.5" style="188" bestFit="1" customWidth="1"/>
    <col min="14612" max="14612" width="9" style="188"/>
    <col min="14613" max="14613" width="10.5" style="188" bestFit="1" customWidth="1"/>
    <col min="14614" max="14849" width="9" style="188"/>
    <col min="14850" max="14850" width="14.125" style="188" customWidth="1"/>
    <col min="14851" max="14851" width="9.75" style="188" customWidth="1"/>
    <col min="14852" max="14852" width="7.875" style="188" customWidth="1"/>
    <col min="14853" max="14853" width="9.75" style="188" customWidth="1"/>
    <col min="14854" max="14854" width="7.875" style="188" customWidth="1"/>
    <col min="14855" max="14855" width="9.75" style="188" customWidth="1"/>
    <col min="14856" max="14856" width="8.625" style="188" customWidth="1"/>
    <col min="14857" max="14857" width="7.625" style="188" customWidth="1"/>
    <col min="14858" max="14859" width="9.75" style="188" customWidth="1"/>
    <col min="14860" max="14865" width="8.625" style="188" customWidth="1"/>
    <col min="14866" max="14866" width="9.75" style="188" customWidth="1"/>
    <col min="14867" max="14867" width="10.5" style="188" bestFit="1" customWidth="1"/>
    <col min="14868" max="14868" width="9" style="188"/>
    <col min="14869" max="14869" width="10.5" style="188" bestFit="1" customWidth="1"/>
    <col min="14870" max="15105" width="9" style="188"/>
    <col min="15106" max="15106" width="14.125" style="188" customWidth="1"/>
    <col min="15107" max="15107" width="9.75" style="188" customWidth="1"/>
    <col min="15108" max="15108" width="7.875" style="188" customWidth="1"/>
    <col min="15109" max="15109" width="9.75" style="188" customWidth="1"/>
    <col min="15110" max="15110" width="7.875" style="188" customWidth="1"/>
    <col min="15111" max="15111" width="9.75" style="188" customWidth="1"/>
    <col min="15112" max="15112" width="8.625" style="188" customWidth="1"/>
    <col min="15113" max="15113" width="7.625" style="188" customWidth="1"/>
    <col min="15114" max="15115" width="9.75" style="188" customWidth="1"/>
    <col min="15116" max="15121" width="8.625" style="188" customWidth="1"/>
    <col min="15122" max="15122" width="9.75" style="188" customWidth="1"/>
    <col min="15123" max="15123" width="10.5" style="188" bestFit="1" customWidth="1"/>
    <col min="15124" max="15124" width="9" style="188"/>
    <col min="15125" max="15125" width="10.5" style="188" bestFit="1" customWidth="1"/>
    <col min="15126" max="15361" width="9" style="188"/>
    <col min="15362" max="15362" width="14.125" style="188" customWidth="1"/>
    <col min="15363" max="15363" width="9.75" style="188" customWidth="1"/>
    <col min="15364" max="15364" width="7.875" style="188" customWidth="1"/>
    <col min="15365" max="15365" width="9.75" style="188" customWidth="1"/>
    <col min="15366" max="15366" width="7.875" style="188" customWidth="1"/>
    <col min="15367" max="15367" width="9.75" style="188" customWidth="1"/>
    <col min="15368" max="15368" width="8.625" style="188" customWidth="1"/>
    <col min="15369" max="15369" width="7.625" style="188" customWidth="1"/>
    <col min="15370" max="15371" width="9.75" style="188" customWidth="1"/>
    <col min="15372" max="15377" width="8.625" style="188" customWidth="1"/>
    <col min="15378" max="15378" width="9.75" style="188" customWidth="1"/>
    <col min="15379" max="15379" width="10.5" style="188" bestFit="1" customWidth="1"/>
    <col min="15380" max="15380" width="9" style="188"/>
    <col min="15381" max="15381" width="10.5" style="188" bestFit="1" customWidth="1"/>
    <col min="15382" max="15617" width="9" style="188"/>
    <col min="15618" max="15618" width="14.125" style="188" customWidth="1"/>
    <col min="15619" max="15619" width="9.75" style="188" customWidth="1"/>
    <col min="15620" max="15620" width="7.875" style="188" customWidth="1"/>
    <col min="15621" max="15621" width="9.75" style="188" customWidth="1"/>
    <col min="15622" max="15622" width="7.875" style="188" customWidth="1"/>
    <col min="15623" max="15623" width="9.75" style="188" customWidth="1"/>
    <col min="15624" max="15624" width="8.625" style="188" customWidth="1"/>
    <col min="15625" max="15625" width="7.625" style="188" customWidth="1"/>
    <col min="15626" max="15627" width="9.75" style="188" customWidth="1"/>
    <col min="15628" max="15633" width="8.625" style="188" customWidth="1"/>
    <col min="15634" max="15634" width="9.75" style="188" customWidth="1"/>
    <col min="15635" max="15635" width="10.5" style="188" bestFit="1" customWidth="1"/>
    <col min="15636" max="15636" width="9" style="188"/>
    <col min="15637" max="15637" width="10.5" style="188" bestFit="1" customWidth="1"/>
    <col min="15638" max="15873" width="9" style="188"/>
    <col min="15874" max="15874" width="14.125" style="188" customWidth="1"/>
    <col min="15875" max="15875" width="9.75" style="188" customWidth="1"/>
    <col min="15876" max="15876" width="7.875" style="188" customWidth="1"/>
    <col min="15877" max="15877" width="9.75" style="188" customWidth="1"/>
    <col min="15878" max="15878" width="7.875" style="188" customWidth="1"/>
    <col min="15879" max="15879" width="9.75" style="188" customWidth="1"/>
    <col min="15880" max="15880" width="8.625" style="188" customWidth="1"/>
    <col min="15881" max="15881" width="7.625" style="188" customWidth="1"/>
    <col min="15882" max="15883" width="9.75" style="188" customWidth="1"/>
    <col min="15884" max="15889" width="8.625" style="188" customWidth="1"/>
    <col min="15890" max="15890" width="9.75" style="188" customWidth="1"/>
    <col min="15891" max="15891" width="10.5" style="188" bestFit="1" customWidth="1"/>
    <col min="15892" max="15892" width="9" style="188"/>
    <col min="15893" max="15893" width="10.5" style="188" bestFit="1" customWidth="1"/>
    <col min="15894" max="16129" width="9" style="188"/>
    <col min="16130" max="16130" width="14.125" style="188" customWidth="1"/>
    <col min="16131" max="16131" width="9.75" style="188" customWidth="1"/>
    <col min="16132" max="16132" width="7.875" style="188" customWidth="1"/>
    <col min="16133" max="16133" width="9.75" style="188" customWidth="1"/>
    <col min="16134" max="16134" width="7.875" style="188" customWidth="1"/>
    <col min="16135" max="16135" width="9.75" style="188" customWidth="1"/>
    <col min="16136" max="16136" width="8.625" style="188" customWidth="1"/>
    <col min="16137" max="16137" width="7.625" style="188" customWidth="1"/>
    <col min="16138" max="16139" width="9.75" style="188" customWidth="1"/>
    <col min="16140" max="16145" width="8.625" style="188" customWidth="1"/>
    <col min="16146" max="16146" width="9.75" style="188" customWidth="1"/>
    <col min="16147" max="16147" width="10.5" style="188" bestFit="1" customWidth="1"/>
    <col min="16148" max="16148" width="9" style="188"/>
    <col min="16149" max="16149" width="10.5" style="188" bestFit="1" customWidth="1"/>
    <col min="16150" max="16384" width="9" style="188"/>
  </cols>
  <sheetData>
    <row r="1" spans="1:19" s="171" customFormat="1" ht="23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s="171" customFormat="1" ht="23.25" customHeight="1">
      <c r="A2" s="391" t="s">
        <v>161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s="171" customFormat="1" ht="23.25" customHeight="1" thickBot="1">
      <c r="A3" s="392" t="s">
        <v>308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s="176" customFormat="1" ht="21.75" customHeight="1">
      <c r="A4" s="172" t="s">
        <v>162</v>
      </c>
      <c r="B4" s="385" t="s">
        <v>163</v>
      </c>
      <c r="C4" s="386"/>
      <c r="D4" s="387"/>
      <c r="E4" s="242" t="s">
        <v>164</v>
      </c>
      <c r="F4" s="385" t="s">
        <v>165</v>
      </c>
      <c r="G4" s="387"/>
      <c r="H4" s="173" t="s">
        <v>166</v>
      </c>
      <c r="I4" s="385" t="s">
        <v>167</v>
      </c>
      <c r="J4" s="387"/>
      <c r="K4" s="388" t="s">
        <v>168</v>
      </c>
      <c r="L4" s="389"/>
      <c r="M4" s="385" t="s">
        <v>169</v>
      </c>
      <c r="N4" s="386"/>
      <c r="O4" s="387"/>
      <c r="P4" s="174" t="s">
        <v>170</v>
      </c>
      <c r="Q4" s="174" t="s">
        <v>171</v>
      </c>
      <c r="R4" s="173" t="s">
        <v>172</v>
      </c>
      <c r="S4" s="175" t="s">
        <v>144</v>
      </c>
    </row>
    <row r="5" spans="1:19" s="176" customFormat="1" ht="22.5" thickBot="1">
      <c r="A5" s="177" t="s">
        <v>173</v>
      </c>
      <c r="B5" s="178" t="s">
        <v>174</v>
      </c>
      <c r="C5" s="179" t="s">
        <v>175</v>
      </c>
      <c r="D5" s="179" t="s">
        <v>176</v>
      </c>
      <c r="E5" s="180" t="s">
        <v>177</v>
      </c>
      <c r="F5" s="178" t="s">
        <v>209</v>
      </c>
      <c r="G5" s="178" t="s">
        <v>178</v>
      </c>
      <c r="H5" s="178" t="s">
        <v>179</v>
      </c>
      <c r="I5" s="180" t="s">
        <v>180</v>
      </c>
      <c r="J5" s="180" t="s">
        <v>181</v>
      </c>
      <c r="K5" s="178" t="s">
        <v>182</v>
      </c>
      <c r="L5" s="181" t="s">
        <v>210</v>
      </c>
      <c r="M5" s="179" t="s">
        <v>183</v>
      </c>
      <c r="N5" s="179" t="s">
        <v>184</v>
      </c>
      <c r="O5" s="241" t="s">
        <v>185</v>
      </c>
      <c r="P5" s="181" t="s">
        <v>186</v>
      </c>
      <c r="Q5" s="181" t="s">
        <v>187</v>
      </c>
      <c r="R5" s="180" t="s">
        <v>188</v>
      </c>
      <c r="S5" s="182"/>
    </row>
    <row r="6" spans="1:19" ht="21" customHeight="1">
      <c r="A6" s="183" t="s">
        <v>189</v>
      </c>
      <c r="B6" s="184"/>
      <c r="C6" s="185"/>
      <c r="D6" s="185"/>
      <c r="E6" s="184"/>
      <c r="F6" s="185"/>
      <c r="G6" s="185"/>
      <c r="H6" s="185"/>
      <c r="I6" s="184"/>
      <c r="J6" s="184"/>
      <c r="K6" s="185"/>
      <c r="L6" s="186"/>
      <c r="M6" s="184"/>
      <c r="N6" s="184"/>
      <c r="O6" s="187"/>
      <c r="P6" s="186"/>
      <c r="Q6" s="186"/>
      <c r="R6" s="184"/>
      <c r="S6" s="186"/>
    </row>
    <row r="7" spans="1:19" ht="21" customHeight="1">
      <c r="A7" s="189" t="s">
        <v>190</v>
      </c>
      <c r="B7" s="190">
        <v>0</v>
      </c>
      <c r="C7" s="191">
        <v>0</v>
      </c>
      <c r="D7" s="191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2">
        <v>8183</v>
      </c>
      <c r="S7" s="190">
        <f t="shared" ref="S7:S16" si="0">SUM(B7:R7)</f>
        <v>8183</v>
      </c>
    </row>
    <row r="8" spans="1:19" ht="21" customHeight="1">
      <c r="A8" s="189" t="s">
        <v>191</v>
      </c>
      <c r="B8" s="190">
        <v>0</v>
      </c>
      <c r="C8" s="191">
        <v>0</v>
      </c>
      <c r="D8" s="191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2">
        <v>0</v>
      </c>
      <c r="S8" s="190">
        <f t="shared" si="0"/>
        <v>0</v>
      </c>
    </row>
    <row r="9" spans="1:19" ht="21" customHeight="1">
      <c r="A9" s="189" t="s">
        <v>192</v>
      </c>
      <c r="B9" s="190">
        <v>0</v>
      </c>
      <c r="C9" s="191">
        <v>0</v>
      </c>
      <c r="D9" s="191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2">
        <v>0</v>
      </c>
      <c r="S9" s="190">
        <f t="shared" si="0"/>
        <v>0</v>
      </c>
    </row>
    <row r="10" spans="1:19" ht="21" customHeight="1">
      <c r="A10" s="189" t="s">
        <v>193</v>
      </c>
      <c r="B10" s="190">
        <v>0</v>
      </c>
      <c r="C10" s="191">
        <v>0</v>
      </c>
      <c r="D10" s="191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2">
        <v>3500</v>
      </c>
      <c r="S10" s="190">
        <f t="shared" si="0"/>
        <v>3500</v>
      </c>
    </row>
    <row r="11" spans="1:19" ht="21" customHeight="1">
      <c r="A11" s="189" t="s">
        <v>194</v>
      </c>
      <c r="B11" s="190">
        <v>0</v>
      </c>
      <c r="C11" s="191">
        <v>0</v>
      </c>
      <c r="D11" s="191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2">
        <v>0</v>
      </c>
      <c r="S11" s="190">
        <f t="shared" si="0"/>
        <v>0</v>
      </c>
    </row>
    <row r="12" spans="1:19" ht="21" customHeight="1">
      <c r="A12" s="189" t="s">
        <v>195</v>
      </c>
      <c r="B12" s="190">
        <v>0</v>
      </c>
      <c r="C12" s="191">
        <v>0</v>
      </c>
      <c r="D12" s="191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2">
        <v>0</v>
      </c>
      <c r="S12" s="190">
        <f t="shared" si="0"/>
        <v>0</v>
      </c>
    </row>
    <row r="13" spans="1:19" ht="21" customHeight="1">
      <c r="A13" s="189" t="s">
        <v>249</v>
      </c>
      <c r="B13" s="190">
        <v>0</v>
      </c>
      <c r="C13" s="191">
        <v>0</v>
      </c>
      <c r="D13" s="191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2">
        <v>0</v>
      </c>
      <c r="S13" s="190">
        <f t="shared" ref="S13" si="1">SUM(B13:R13)</f>
        <v>0</v>
      </c>
    </row>
    <row r="14" spans="1:19" ht="21" customHeight="1">
      <c r="A14" s="189" t="s">
        <v>196</v>
      </c>
      <c r="B14" s="190">
        <v>0</v>
      </c>
      <c r="C14" s="191">
        <v>0</v>
      </c>
      <c r="D14" s="191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2">
        <v>0</v>
      </c>
      <c r="S14" s="190">
        <f t="shared" si="0"/>
        <v>0</v>
      </c>
    </row>
    <row r="15" spans="1:19" s="171" customFormat="1" ht="21">
      <c r="A15" s="193" t="s">
        <v>197</v>
      </c>
      <c r="B15" s="194">
        <f t="shared" ref="B15:R15" si="2">SUM(B7:B14)</f>
        <v>0</v>
      </c>
      <c r="C15" s="194">
        <f t="shared" si="2"/>
        <v>0</v>
      </c>
      <c r="D15" s="194">
        <f t="shared" si="2"/>
        <v>0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11683</v>
      </c>
      <c r="S15" s="195">
        <f t="shared" si="0"/>
        <v>11683</v>
      </c>
    </row>
    <row r="16" spans="1:19" s="196" customFormat="1" ht="21">
      <c r="A16" s="193" t="s">
        <v>198</v>
      </c>
      <c r="B16" s="194">
        <v>0</v>
      </c>
      <c r="C16" s="194">
        <v>0</v>
      </c>
      <c r="D16" s="194">
        <f>0</f>
        <v>0</v>
      </c>
      <c r="E16" s="194">
        <f>0</f>
        <v>0</v>
      </c>
      <c r="F16" s="194">
        <f>0</f>
        <v>0</v>
      </c>
      <c r="G16" s="194">
        <f>0</f>
        <v>0</v>
      </c>
      <c r="H16" s="194">
        <f>0</f>
        <v>0</v>
      </c>
      <c r="I16" s="194">
        <f>0</f>
        <v>0</v>
      </c>
      <c r="J16" s="194">
        <f>0</f>
        <v>0</v>
      </c>
      <c r="K16" s="194">
        <f>0</f>
        <v>0</v>
      </c>
      <c r="L16" s="194">
        <f>0</f>
        <v>0</v>
      </c>
      <c r="M16" s="194">
        <f>0</f>
        <v>0</v>
      </c>
      <c r="N16" s="194">
        <f>0</f>
        <v>0</v>
      </c>
      <c r="O16" s="194">
        <f>0</f>
        <v>0</v>
      </c>
      <c r="P16" s="194">
        <f>0</f>
        <v>0</v>
      </c>
      <c r="Q16" s="194">
        <f>0</f>
        <v>0</v>
      </c>
      <c r="R16" s="194">
        <f>16353+441645.29+11683+11683</f>
        <v>481364.29</v>
      </c>
      <c r="S16" s="195">
        <f t="shared" si="0"/>
        <v>481364.29</v>
      </c>
    </row>
    <row r="17" spans="1:19" ht="21" customHeight="1">
      <c r="A17" s="197">
        <v>521000</v>
      </c>
      <c r="B17" s="195"/>
      <c r="C17" s="198"/>
      <c r="D17" s="198"/>
      <c r="E17" s="195"/>
      <c r="F17" s="198"/>
      <c r="G17" s="198"/>
      <c r="H17" s="198"/>
      <c r="I17" s="195"/>
      <c r="J17" s="195"/>
      <c r="K17" s="198"/>
      <c r="L17" s="190"/>
      <c r="M17" s="195"/>
      <c r="N17" s="195"/>
      <c r="O17" s="195"/>
      <c r="P17" s="190"/>
      <c r="Q17" s="190"/>
      <c r="R17" s="194"/>
      <c r="S17" s="190"/>
    </row>
    <row r="18" spans="1:19" ht="21" customHeight="1">
      <c r="A18" s="199">
        <v>210100</v>
      </c>
      <c r="B18" s="192">
        <v>57960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0">
        <f t="shared" ref="S18:S24" si="3">SUM(B18:R18)</f>
        <v>57960</v>
      </c>
    </row>
    <row r="19" spans="1:19" ht="21" customHeight="1">
      <c r="A19" s="199">
        <v>210200</v>
      </c>
      <c r="B19" s="192">
        <v>10000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0">
        <f t="shared" si="3"/>
        <v>10000</v>
      </c>
    </row>
    <row r="20" spans="1:19" ht="21" customHeight="1">
      <c r="A20" s="199">
        <v>210300</v>
      </c>
      <c r="B20" s="192">
        <v>10000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0">
        <f t="shared" si="3"/>
        <v>10000</v>
      </c>
    </row>
    <row r="21" spans="1:19" ht="21" customHeight="1">
      <c r="A21" s="199">
        <v>210400</v>
      </c>
      <c r="B21" s="192">
        <v>16560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0">
        <f t="shared" si="3"/>
        <v>16560</v>
      </c>
    </row>
    <row r="22" spans="1:19" ht="21" customHeight="1">
      <c r="A22" s="199">
        <v>210600</v>
      </c>
      <c r="B22" s="192">
        <v>124200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0">
        <f t="shared" si="3"/>
        <v>124200</v>
      </c>
    </row>
    <row r="23" spans="1:19" s="171" customFormat="1" ht="21">
      <c r="A23" s="193" t="s">
        <v>197</v>
      </c>
      <c r="B23" s="194">
        <f t="shared" ref="B23:R23" si="4">SUM(B18:B22)</f>
        <v>218720</v>
      </c>
      <c r="C23" s="194">
        <f t="shared" si="4"/>
        <v>0</v>
      </c>
      <c r="D23" s="194">
        <f t="shared" si="4"/>
        <v>0</v>
      </c>
      <c r="E23" s="194">
        <f t="shared" si="4"/>
        <v>0</v>
      </c>
      <c r="F23" s="194">
        <f t="shared" si="4"/>
        <v>0</v>
      </c>
      <c r="G23" s="194">
        <f t="shared" si="4"/>
        <v>0</v>
      </c>
      <c r="H23" s="194">
        <f t="shared" si="4"/>
        <v>0</v>
      </c>
      <c r="I23" s="194">
        <f t="shared" si="4"/>
        <v>0</v>
      </c>
      <c r="J23" s="194">
        <f t="shared" si="4"/>
        <v>0</v>
      </c>
      <c r="K23" s="194">
        <f t="shared" si="4"/>
        <v>0</v>
      </c>
      <c r="L23" s="194">
        <f t="shared" si="4"/>
        <v>0</v>
      </c>
      <c r="M23" s="194">
        <f t="shared" si="4"/>
        <v>0</v>
      </c>
      <c r="N23" s="194">
        <f t="shared" si="4"/>
        <v>0</v>
      </c>
      <c r="O23" s="194">
        <f t="shared" si="4"/>
        <v>0</v>
      </c>
      <c r="P23" s="194">
        <f t="shared" si="4"/>
        <v>0</v>
      </c>
      <c r="Q23" s="194">
        <f t="shared" si="4"/>
        <v>0</v>
      </c>
      <c r="R23" s="194">
        <f t="shared" si="4"/>
        <v>0</v>
      </c>
      <c r="S23" s="195">
        <f t="shared" si="3"/>
        <v>218720</v>
      </c>
    </row>
    <row r="24" spans="1:19" s="196" customFormat="1" ht="21">
      <c r="A24" s="193" t="s">
        <v>198</v>
      </c>
      <c r="B24" s="194">
        <f>218720+218720+218720+218720+218720</f>
        <v>1093600</v>
      </c>
      <c r="C24" s="194">
        <v>0</v>
      </c>
      <c r="D24" s="194">
        <v>0</v>
      </c>
      <c r="E24" s="194">
        <f>0</f>
        <v>0</v>
      </c>
      <c r="F24" s="194">
        <f>0</f>
        <v>0</v>
      </c>
      <c r="G24" s="194">
        <f>0</f>
        <v>0</v>
      </c>
      <c r="H24" s="194">
        <f>0</f>
        <v>0</v>
      </c>
      <c r="I24" s="194">
        <v>0</v>
      </c>
      <c r="J24" s="194">
        <f>0</f>
        <v>0</v>
      </c>
      <c r="K24" s="194">
        <f>0</f>
        <v>0</v>
      </c>
      <c r="L24" s="194">
        <f>0</f>
        <v>0</v>
      </c>
      <c r="M24" s="194">
        <f>0</f>
        <v>0</v>
      </c>
      <c r="N24" s="194">
        <f>0</f>
        <v>0</v>
      </c>
      <c r="O24" s="194">
        <f>0</f>
        <v>0</v>
      </c>
      <c r="P24" s="194">
        <f>0</f>
        <v>0</v>
      </c>
      <c r="Q24" s="194">
        <f>0</f>
        <v>0</v>
      </c>
      <c r="R24" s="194">
        <f>0</f>
        <v>0</v>
      </c>
      <c r="S24" s="195">
        <f t="shared" si="3"/>
        <v>1093600</v>
      </c>
    </row>
    <row r="25" spans="1:19" ht="21" customHeight="1">
      <c r="A25" s="197">
        <v>522000</v>
      </c>
      <c r="B25" s="195"/>
      <c r="C25" s="198"/>
      <c r="D25" s="198"/>
      <c r="E25" s="195"/>
      <c r="F25" s="198"/>
      <c r="G25" s="198"/>
      <c r="H25" s="198"/>
      <c r="I25" s="195"/>
      <c r="J25" s="195"/>
      <c r="K25" s="198"/>
      <c r="L25" s="190"/>
      <c r="M25" s="195"/>
      <c r="N25" s="195"/>
      <c r="O25" s="195"/>
      <c r="P25" s="190"/>
      <c r="Q25" s="190"/>
      <c r="R25" s="194"/>
      <c r="S25" s="190"/>
    </row>
    <row r="26" spans="1:19" ht="21" customHeight="1">
      <c r="A26" s="199">
        <v>220100</v>
      </c>
      <c r="B26" s="192">
        <v>162750</v>
      </c>
      <c r="C26" s="192">
        <v>0</v>
      </c>
      <c r="D26" s="192">
        <v>85850</v>
      </c>
      <c r="E26" s="192">
        <v>0</v>
      </c>
      <c r="F26" s="192">
        <v>0</v>
      </c>
      <c r="G26" s="192">
        <v>0</v>
      </c>
      <c r="H26" s="192">
        <v>0</v>
      </c>
      <c r="I26" s="192">
        <v>59360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0">
        <f t="shared" ref="S26:S32" si="5">SUM(B26:R26)</f>
        <v>307960</v>
      </c>
    </row>
    <row r="27" spans="1:19" ht="21" customHeight="1">
      <c r="A27" s="199">
        <v>220200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0">
        <f t="shared" si="5"/>
        <v>0</v>
      </c>
    </row>
    <row r="28" spans="1:19" ht="21" customHeight="1">
      <c r="A28" s="199">
        <v>220300</v>
      </c>
      <c r="B28" s="192">
        <v>10500</v>
      </c>
      <c r="C28" s="192">
        <v>0</v>
      </c>
      <c r="D28" s="192">
        <v>3500</v>
      </c>
      <c r="E28" s="192">
        <v>0</v>
      </c>
      <c r="F28" s="192">
        <v>0</v>
      </c>
      <c r="G28" s="192">
        <v>0</v>
      </c>
      <c r="H28" s="192">
        <v>0</v>
      </c>
      <c r="I28" s="192">
        <v>3500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0">
        <f t="shared" si="5"/>
        <v>17500</v>
      </c>
    </row>
    <row r="29" spans="1:19" ht="21" customHeight="1">
      <c r="A29" s="199">
        <v>220700</v>
      </c>
      <c r="B29" s="192">
        <v>65110</v>
      </c>
      <c r="C29" s="192">
        <v>0</v>
      </c>
      <c r="D29" s="192">
        <v>31100</v>
      </c>
      <c r="E29" s="192">
        <v>0</v>
      </c>
      <c r="F29" s="192">
        <v>8185</v>
      </c>
      <c r="G29" s="192">
        <v>0</v>
      </c>
      <c r="H29" s="192">
        <v>0</v>
      </c>
      <c r="I29" s="192">
        <v>55430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0">
        <f t="shared" si="5"/>
        <v>159825</v>
      </c>
    </row>
    <row r="30" spans="1:19" ht="21" customHeight="1">
      <c r="A30" s="199">
        <v>220800</v>
      </c>
      <c r="B30" s="192">
        <v>5000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6000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0">
        <f>SUM(B30:R30)</f>
        <v>11000</v>
      </c>
    </row>
    <row r="31" spans="1:19">
      <c r="A31" s="193" t="s">
        <v>197</v>
      </c>
      <c r="B31" s="194">
        <f t="shared" ref="B31:R31" si="6">SUM(B26:B30)</f>
        <v>243360</v>
      </c>
      <c r="C31" s="194">
        <f t="shared" si="6"/>
        <v>0</v>
      </c>
      <c r="D31" s="194">
        <f t="shared" si="6"/>
        <v>120450</v>
      </c>
      <c r="E31" s="194">
        <f t="shared" si="6"/>
        <v>0</v>
      </c>
      <c r="F31" s="194">
        <f t="shared" si="6"/>
        <v>8185</v>
      </c>
      <c r="G31" s="194">
        <f t="shared" si="6"/>
        <v>0</v>
      </c>
      <c r="H31" s="194">
        <f t="shared" si="6"/>
        <v>0</v>
      </c>
      <c r="I31" s="194">
        <f t="shared" si="6"/>
        <v>124290</v>
      </c>
      <c r="J31" s="194">
        <f t="shared" si="6"/>
        <v>0</v>
      </c>
      <c r="K31" s="194">
        <f t="shared" si="6"/>
        <v>0</v>
      </c>
      <c r="L31" s="194">
        <f t="shared" si="6"/>
        <v>0</v>
      </c>
      <c r="M31" s="194">
        <f t="shared" si="6"/>
        <v>0</v>
      </c>
      <c r="N31" s="194">
        <f t="shared" si="6"/>
        <v>0</v>
      </c>
      <c r="O31" s="194">
        <f t="shared" si="6"/>
        <v>0</v>
      </c>
      <c r="P31" s="194">
        <f t="shared" si="6"/>
        <v>0</v>
      </c>
      <c r="Q31" s="194">
        <f t="shared" si="6"/>
        <v>0</v>
      </c>
      <c r="R31" s="194">
        <f t="shared" si="6"/>
        <v>0</v>
      </c>
      <c r="S31" s="195">
        <f t="shared" si="5"/>
        <v>496285</v>
      </c>
    </row>
    <row r="32" spans="1:19" s="200" customFormat="1">
      <c r="A32" s="193" t="s">
        <v>198</v>
      </c>
      <c r="B32" s="194">
        <f>258490+237690+237690+316507.74+243360</f>
        <v>1293737.74</v>
      </c>
      <c r="C32" s="194">
        <v>0</v>
      </c>
      <c r="D32" s="194">
        <f>128700+117200+117200+162080+120450</f>
        <v>645630</v>
      </c>
      <c r="E32" s="194">
        <f>0</f>
        <v>0</v>
      </c>
      <c r="F32" s="194">
        <f>16370+8185+8185+8185</f>
        <v>40925</v>
      </c>
      <c r="G32" s="194">
        <v>0</v>
      </c>
      <c r="H32" s="194">
        <f>0</f>
        <v>0</v>
      </c>
      <c r="I32" s="194">
        <f>132530+122030+122030+153370+124290</f>
        <v>654250</v>
      </c>
      <c r="J32" s="194">
        <f>0</f>
        <v>0</v>
      </c>
      <c r="K32" s="194">
        <f>0</f>
        <v>0</v>
      </c>
      <c r="L32" s="194">
        <f>0</f>
        <v>0</v>
      </c>
      <c r="M32" s="194">
        <f>0</f>
        <v>0</v>
      </c>
      <c r="N32" s="194">
        <f>0</f>
        <v>0</v>
      </c>
      <c r="O32" s="194">
        <f>0</f>
        <v>0</v>
      </c>
      <c r="P32" s="194">
        <f>0</f>
        <v>0</v>
      </c>
      <c r="Q32" s="194">
        <f>0</f>
        <v>0</v>
      </c>
      <c r="R32" s="194">
        <f>0</f>
        <v>0</v>
      </c>
      <c r="S32" s="195">
        <f t="shared" si="5"/>
        <v>2634542.7400000002</v>
      </c>
    </row>
    <row r="33" spans="1:19" s="200" customFormat="1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3"/>
    </row>
    <row r="34" spans="1:19" s="200" customFormat="1">
      <c r="A34" s="201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5" spans="1:19" s="200" customFormat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6" spans="1:19" s="200" customForma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3"/>
    </row>
    <row r="37" spans="1:19" s="200" customFormat="1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3"/>
    </row>
    <row r="38" spans="1:19" ht="21" customHeight="1" thickBot="1">
      <c r="A38" s="390" t="s">
        <v>203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</row>
    <row r="39" spans="1:19" s="176" customFormat="1" ht="21.75" customHeight="1">
      <c r="A39" s="172" t="s">
        <v>162</v>
      </c>
      <c r="B39" s="385" t="s">
        <v>163</v>
      </c>
      <c r="C39" s="386"/>
      <c r="D39" s="387"/>
      <c r="E39" s="242" t="s">
        <v>164</v>
      </c>
      <c r="F39" s="385" t="s">
        <v>165</v>
      </c>
      <c r="G39" s="387"/>
      <c r="H39" s="173" t="s">
        <v>166</v>
      </c>
      <c r="I39" s="385" t="s">
        <v>167</v>
      </c>
      <c r="J39" s="387"/>
      <c r="K39" s="388" t="s">
        <v>168</v>
      </c>
      <c r="L39" s="389"/>
      <c r="M39" s="385" t="s">
        <v>169</v>
      </c>
      <c r="N39" s="386"/>
      <c r="O39" s="387"/>
      <c r="P39" s="174" t="s">
        <v>170</v>
      </c>
      <c r="Q39" s="174" t="s">
        <v>171</v>
      </c>
      <c r="R39" s="173" t="s">
        <v>172</v>
      </c>
      <c r="S39" s="175" t="s">
        <v>144</v>
      </c>
    </row>
    <row r="40" spans="1:19" s="176" customFormat="1" ht="22.5" thickBot="1">
      <c r="A40" s="177" t="s">
        <v>173</v>
      </c>
      <c r="B40" s="178" t="s">
        <v>174</v>
      </c>
      <c r="C40" s="179" t="s">
        <v>175</v>
      </c>
      <c r="D40" s="179" t="s">
        <v>176</v>
      </c>
      <c r="E40" s="180" t="s">
        <v>177</v>
      </c>
      <c r="F40" s="178" t="s">
        <v>209</v>
      </c>
      <c r="G40" s="178" t="s">
        <v>178</v>
      </c>
      <c r="H40" s="178" t="s">
        <v>179</v>
      </c>
      <c r="I40" s="180" t="s">
        <v>180</v>
      </c>
      <c r="J40" s="180" t="s">
        <v>181</v>
      </c>
      <c r="K40" s="178" t="s">
        <v>182</v>
      </c>
      <c r="L40" s="181" t="s">
        <v>210</v>
      </c>
      <c r="M40" s="179" t="s">
        <v>183</v>
      </c>
      <c r="N40" s="179" t="s">
        <v>184</v>
      </c>
      <c r="O40" s="241" t="s">
        <v>185</v>
      </c>
      <c r="P40" s="181" t="s">
        <v>186</v>
      </c>
      <c r="Q40" s="181" t="s">
        <v>187</v>
      </c>
      <c r="R40" s="180" t="s">
        <v>188</v>
      </c>
      <c r="S40" s="182"/>
    </row>
    <row r="41" spans="1:19" ht="21" customHeight="1">
      <c r="A41" s="204">
        <v>531000</v>
      </c>
      <c r="B41" s="205"/>
      <c r="C41" s="206"/>
      <c r="D41" s="206"/>
      <c r="E41" s="184"/>
      <c r="F41" s="185"/>
      <c r="G41" s="185"/>
      <c r="H41" s="185"/>
      <c r="I41" s="184"/>
      <c r="J41" s="205"/>
      <c r="K41" s="185"/>
      <c r="L41" s="190"/>
      <c r="M41" s="184"/>
      <c r="N41" s="184"/>
      <c r="O41" s="184"/>
      <c r="P41" s="190"/>
      <c r="Q41" s="190"/>
      <c r="R41" s="205"/>
      <c r="S41" s="190"/>
    </row>
    <row r="42" spans="1:19" ht="21" customHeight="1">
      <c r="A42" s="199">
        <v>310100</v>
      </c>
      <c r="B42" s="192">
        <v>0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0</v>
      </c>
      <c r="S42" s="190">
        <f t="shared" ref="S42:S50" si="7">SUM(B42:R42)</f>
        <v>0</v>
      </c>
    </row>
    <row r="43" spans="1:19" ht="21" customHeight="1">
      <c r="A43" s="199">
        <v>310200</v>
      </c>
      <c r="B43" s="192">
        <v>0</v>
      </c>
      <c r="C43" s="192">
        <v>0</v>
      </c>
      <c r="D43" s="192">
        <v>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0">
        <f t="shared" si="7"/>
        <v>0</v>
      </c>
    </row>
    <row r="44" spans="1:19" ht="21" customHeight="1">
      <c r="A44" s="199">
        <v>310300</v>
      </c>
      <c r="B44" s="192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5040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0">
        <f t="shared" si="7"/>
        <v>5040</v>
      </c>
    </row>
    <row r="45" spans="1:19" ht="21" customHeight="1">
      <c r="A45" s="199">
        <v>310400</v>
      </c>
      <c r="B45" s="192">
        <v>6500</v>
      </c>
      <c r="C45" s="192">
        <v>0</v>
      </c>
      <c r="D45" s="192">
        <v>8400</v>
      </c>
      <c r="E45" s="192">
        <v>0</v>
      </c>
      <c r="F45" s="192">
        <v>0</v>
      </c>
      <c r="G45" s="192">
        <v>0</v>
      </c>
      <c r="H45" s="192">
        <v>0</v>
      </c>
      <c r="I45" s="192">
        <v>3000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0</v>
      </c>
      <c r="S45" s="190">
        <f t="shared" si="7"/>
        <v>17900</v>
      </c>
    </row>
    <row r="46" spans="1:19" ht="21" customHeight="1">
      <c r="A46" s="199">
        <v>310500</v>
      </c>
      <c r="B46" s="192">
        <v>0</v>
      </c>
      <c r="C46" s="192">
        <v>0</v>
      </c>
      <c r="D46" s="192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0">
        <f t="shared" si="7"/>
        <v>0</v>
      </c>
    </row>
    <row r="47" spans="1:19" ht="21" customHeight="1">
      <c r="A47" s="199">
        <v>310600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0">
        <f t="shared" si="7"/>
        <v>0</v>
      </c>
    </row>
    <row r="48" spans="1:19" ht="21" customHeight="1">
      <c r="A48" s="199">
        <v>310800</v>
      </c>
      <c r="B48" s="192">
        <v>0</v>
      </c>
      <c r="C48" s="192">
        <v>0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0">
        <f t="shared" si="7"/>
        <v>0</v>
      </c>
    </row>
    <row r="49" spans="1:19">
      <c r="A49" s="193" t="s">
        <v>197</v>
      </c>
      <c r="B49" s="194">
        <f t="shared" ref="B49:R49" si="8">SUM(B42:B48)</f>
        <v>6500</v>
      </c>
      <c r="C49" s="194">
        <f t="shared" si="8"/>
        <v>0</v>
      </c>
      <c r="D49" s="194">
        <f t="shared" si="8"/>
        <v>8400</v>
      </c>
      <c r="E49" s="194">
        <f t="shared" si="8"/>
        <v>0</v>
      </c>
      <c r="F49" s="194">
        <f t="shared" si="8"/>
        <v>0</v>
      </c>
      <c r="G49" s="194">
        <f t="shared" si="8"/>
        <v>0</v>
      </c>
      <c r="H49" s="194">
        <f t="shared" si="8"/>
        <v>0</v>
      </c>
      <c r="I49" s="194">
        <f t="shared" si="8"/>
        <v>8040</v>
      </c>
      <c r="J49" s="194">
        <f t="shared" si="8"/>
        <v>0</v>
      </c>
      <c r="K49" s="194">
        <f t="shared" si="8"/>
        <v>0</v>
      </c>
      <c r="L49" s="194">
        <f t="shared" si="8"/>
        <v>0</v>
      </c>
      <c r="M49" s="194">
        <f t="shared" si="8"/>
        <v>0</v>
      </c>
      <c r="N49" s="194">
        <f t="shared" si="8"/>
        <v>0</v>
      </c>
      <c r="O49" s="194">
        <f t="shared" si="8"/>
        <v>0</v>
      </c>
      <c r="P49" s="194">
        <f t="shared" si="8"/>
        <v>0</v>
      </c>
      <c r="Q49" s="194">
        <f t="shared" si="8"/>
        <v>0</v>
      </c>
      <c r="R49" s="194">
        <f t="shared" si="8"/>
        <v>0</v>
      </c>
      <c r="S49" s="195">
        <f t="shared" si="7"/>
        <v>22940</v>
      </c>
    </row>
    <row r="50" spans="1:19" s="200" customFormat="1">
      <c r="A50" s="193" t="s">
        <v>198</v>
      </c>
      <c r="B50" s="194">
        <f>14454+3000+10000+6500</f>
        <v>33954</v>
      </c>
      <c r="C50" s="194">
        <v>0</v>
      </c>
      <c r="D50" s="194">
        <f>15200+7600+8400+8400</f>
        <v>39600</v>
      </c>
      <c r="E50" s="194">
        <v>0</v>
      </c>
      <c r="F50" s="194">
        <f>0</f>
        <v>0</v>
      </c>
      <c r="G50" s="194">
        <f>0</f>
        <v>0</v>
      </c>
      <c r="H50" s="194">
        <f>0</f>
        <v>0</v>
      </c>
      <c r="I50" s="194">
        <f>12910+6360+8880+8040</f>
        <v>36190</v>
      </c>
      <c r="J50" s="194">
        <f>0</f>
        <v>0</v>
      </c>
      <c r="K50" s="194">
        <f>0</f>
        <v>0</v>
      </c>
      <c r="L50" s="194">
        <f>0</f>
        <v>0</v>
      </c>
      <c r="M50" s="194">
        <f>0</f>
        <v>0</v>
      </c>
      <c r="N50" s="194">
        <f>0</f>
        <v>0</v>
      </c>
      <c r="O50" s="194">
        <f>0</f>
        <v>0</v>
      </c>
      <c r="P50" s="194">
        <f>0</f>
        <v>0</v>
      </c>
      <c r="Q50" s="194">
        <f>0</f>
        <v>0</v>
      </c>
      <c r="R50" s="194">
        <f>0</f>
        <v>0</v>
      </c>
      <c r="S50" s="195">
        <f t="shared" si="7"/>
        <v>109744</v>
      </c>
    </row>
    <row r="51" spans="1:19" ht="21" customHeight="1">
      <c r="A51" s="197">
        <v>532000</v>
      </c>
      <c r="B51" s="194"/>
      <c r="C51" s="207"/>
      <c r="D51" s="207"/>
      <c r="E51" s="195"/>
      <c r="F51" s="198"/>
      <c r="G51" s="198"/>
      <c r="H51" s="198"/>
      <c r="I51" s="195"/>
      <c r="J51" s="194"/>
      <c r="K51" s="198"/>
      <c r="L51" s="190"/>
      <c r="M51" s="195"/>
      <c r="N51" s="195"/>
      <c r="O51" s="195"/>
      <c r="P51" s="190"/>
      <c r="Q51" s="190"/>
      <c r="R51" s="194"/>
      <c r="S51" s="190"/>
    </row>
    <row r="52" spans="1:19" ht="21" customHeight="1">
      <c r="A52" s="199">
        <v>320100</v>
      </c>
      <c r="B52" s="192">
        <f>3000+500+29000</f>
        <v>32500</v>
      </c>
      <c r="C52" s="192">
        <v>0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7000</v>
      </c>
      <c r="R52" s="192">
        <v>0</v>
      </c>
      <c r="S52" s="190">
        <f t="shared" ref="S52:S58" si="9">SUM(B52:R52)</f>
        <v>39500</v>
      </c>
    </row>
    <row r="53" spans="1:19" ht="21" customHeight="1">
      <c r="A53" s="199">
        <v>320200</v>
      </c>
      <c r="B53" s="192">
        <v>0</v>
      </c>
      <c r="C53" s="192">
        <v>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0">
        <f t="shared" si="9"/>
        <v>0</v>
      </c>
    </row>
    <row r="54" spans="1:19" ht="21" customHeight="1">
      <c r="A54" s="199">
        <v>320300</v>
      </c>
      <c r="B54" s="192">
        <v>10000</v>
      </c>
      <c r="C54" s="192">
        <v>0</v>
      </c>
      <c r="D54" s="208">
        <v>0</v>
      </c>
      <c r="E54" s="192">
        <v>0</v>
      </c>
      <c r="F54" s="192">
        <v>0</v>
      </c>
      <c r="G54" s="192">
        <v>0</v>
      </c>
      <c r="H54" s="192">
        <v>0</v>
      </c>
      <c r="I54" s="208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0">
        <f t="shared" si="9"/>
        <v>10000</v>
      </c>
    </row>
    <row r="55" spans="1:19" ht="21" customHeight="1">
      <c r="A55" s="199">
        <v>320400</v>
      </c>
      <c r="B55" s="192">
        <v>20060</v>
      </c>
      <c r="C55" s="192">
        <v>0</v>
      </c>
      <c r="D55" s="192">
        <v>1450</v>
      </c>
      <c r="E55" s="192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0">
        <f t="shared" si="9"/>
        <v>21510</v>
      </c>
    </row>
    <row r="56" spans="1:19" ht="21" customHeight="1">
      <c r="A56" s="199">
        <v>320500</v>
      </c>
      <c r="B56" s="192">
        <v>0</v>
      </c>
      <c r="C56" s="192">
        <v>0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0">
        <f t="shared" si="9"/>
        <v>0</v>
      </c>
    </row>
    <row r="57" spans="1:19">
      <c r="A57" s="193" t="s">
        <v>197</v>
      </c>
      <c r="B57" s="194">
        <f t="shared" ref="B57:R57" si="10">SUM(B52:B56)</f>
        <v>62560</v>
      </c>
      <c r="C57" s="194">
        <f t="shared" si="10"/>
        <v>0</v>
      </c>
      <c r="D57" s="209">
        <f t="shared" si="10"/>
        <v>1450</v>
      </c>
      <c r="E57" s="194">
        <f t="shared" si="10"/>
        <v>0</v>
      </c>
      <c r="F57" s="194">
        <f t="shared" si="10"/>
        <v>0</v>
      </c>
      <c r="G57" s="194">
        <f t="shared" si="10"/>
        <v>0</v>
      </c>
      <c r="H57" s="194">
        <f t="shared" si="10"/>
        <v>0</v>
      </c>
      <c r="I57" s="209">
        <f t="shared" si="10"/>
        <v>0</v>
      </c>
      <c r="J57" s="194">
        <f t="shared" si="10"/>
        <v>0</v>
      </c>
      <c r="K57" s="194">
        <f t="shared" si="10"/>
        <v>0</v>
      </c>
      <c r="L57" s="194">
        <f t="shared" si="10"/>
        <v>0</v>
      </c>
      <c r="M57" s="194">
        <f t="shared" si="10"/>
        <v>0</v>
      </c>
      <c r="N57" s="194">
        <f t="shared" si="10"/>
        <v>0</v>
      </c>
      <c r="O57" s="194">
        <f t="shared" si="10"/>
        <v>0</v>
      </c>
      <c r="P57" s="194">
        <f t="shared" si="10"/>
        <v>0</v>
      </c>
      <c r="Q57" s="194">
        <f t="shared" si="10"/>
        <v>7000</v>
      </c>
      <c r="R57" s="194">
        <f t="shared" si="10"/>
        <v>0</v>
      </c>
      <c r="S57" s="195">
        <f>SUM(B57:R57)</f>
        <v>71010</v>
      </c>
    </row>
    <row r="58" spans="1:19" s="200" customFormat="1">
      <c r="A58" s="210" t="s">
        <v>198</v>
      </c>
      <c r="B58" s="194">
        <f>5700+327134+95708+76188+62560</f>
        <v>567290</v>
      </c>
      <c r="C58" s="194">
        <v>0</v>
      </c>
      <c r="D58" s="194">
        <f>40380+-37800+500+1450</f>
        <v>4530</v>
      </c>
      <c r="E58" s="194">
        <v>2000</v>
      </c>
      <c r="F58" s="194">
        <v>0</v>
      </c>
      <c r="G58" s="194">
        <f>157000+147188</f>
        <v>304188</v>
      </c>
      <c r="H58" s="194">
        <v>0</v>
      </c>
      <c r="I58" s="194">
        <f>13110+-12600</f>
        <v>510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f>3612+7000+7000+7000</f>
        <v>24612</v>
      </c>
      <c r="R58" s="194">
        <f>0</f>
        <v>0</v>
      </c>
      <c r="S58" s="195">
        <f t="shared" si="9"/>
        <v>903130</v>
      </c>
    </row>
    <row r="59" spans="1:19" s="212" customFormat="1" ht="21" customHeight="1">
      <c r="A59" s="21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0" spans="1:19" s="212" customFormat="1" ht="21" customHeight="1">
      <c r="A60" s="211"/>
      <c r="B60" s="202"/>
      <c r="C60" s="202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213"/>
      <c r="P60" s="202"/>
      <c r="Q60" s="202"/>
      <c r="R60" s="202"/>
      <c r="S60" s="203"/>
    </row>
    <row r="61" spans="1:19" s="212" customFormat="1" ht="21" customHeight="1">
      <c r="A61" s="211"/>
      <c r="B61" s="202"/>
      <c r="C61" s="202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13"/>
      <c r="O61" s="213"/>
      <c r="P61" s="202"/>
      <c r="Q61" s="202"/>
      <c r="R61" s="202"/>
      <c r="S61" s="203"/>
    </row>
    <row r="62" spans="1:19" s="212" customFormat="1" ht="21" customHeight="1">
      <c r="A62" s="211"/>
      <c r="B62" s="202"/>
      <c r="C62" s="202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213"/>
      <c r="P62" s="202"/>
      <c r="Q62" s="202"/>
      <c r="R62" s="202"/>
      <c r="S62" s="203"/>
    </row>
    <row r="63" spans="1:19" s="212" customFormat="1" ht="21" customHeight="1">
      <c r="A63" s="211"/>
      <c r="B63" s="202"/>
      <c r="C63" s="202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213"/>
      <c r="P63" s="202"/>
      <c r="Q63" s="202"/>
      <c r="R63" s="202"/>
      <c r="S63" s="203"/>
    </row>
    <row r="64" spans="1:19" s="212" customFormat="1" ht="21" customHeight="1">
      <c r="A64" s="211"/>
      <c r="B64" s="202"/>
      <c r="C64" s="202"/>
      <c r="D64" s="383"/>
      <c r="E64" s="383"/>
      <c r="F64" s="240"/>
      <c r="G64" s="240"/>
      <c r="H64" s="240"/>
      <c r="I64" s="383"/>
      <c r="J64" s="383"/>
      <c r="K64" s="383"/>
      <c r="L64" s="383"/>
      <c r="M64" s="213"/>
      <c r="N64" s="213"/>
      <c r="O64" s="213"/>
      <c r="P64" s="202"/>
      <c r="Q64" s="202"/>
      <c r="R64" s="202"/>
      <c r="S64" s="203"/>
    </row>
    <row r="65" spans="1:19" s="212" customFormat="1" ht="21" customHeight="1">
      <c r="A65" s="211"/>
      <c r="B65" s="202"/>
      <c r="C65" s="202"/>
      <c r="D65" s="383"/>
      <c r="E65" s="383"/>
      <c r="F65" s="240"/>
      <c r="G65" s="240"/>
      <c r="H65" s="240"/>
      <c r="I65" s="383"/>
      <c r="J65" s="383"/>
      <c r="K65" s="383"/>
      <c r="L65" s="383"/>
      <c r="M65" s="213"/>
      <c r="N65" s="213"/>
      <c r="O65" s="213"/>
      <c r="P65" s="202"/>
      <c r="Q65" s="202"/>
      <c r="R65" s="202"/>
      <c r="S65" s="203"/>
    </row>
    <row r="66" spans="1:19" s="212" customFormat="1" ht="21" customHeight="1">
      <c r="A66" s="211"/>
      <c r="B66" s="202"/>
      <c r="C66" s="202"/>
      <c r="D66" s="240"/>
      <c r="E66" s="240"/>
      <c r="F66" s="240"/>
      <c r="G66" s="240"/>
      <c r="H66" s="240"/>
      <c r="I66" s="213"/>
      <c r="J66" s="213"/>
      <c r="K66" s="240"/>
      <c r="L66" s="202"/>
      <c r="M66" s="213"/>
      <c r="N66" s="213"/>
      <c r="O66" s="213"/>
      <c r="P66" s="202"/>
      <c r="Q66" s="202"/>
      <c r="R66" s="202"/>
      <c r="S66" s="203"/>
    </row>
    <row r="67" spans="1:19" s="212" customFormat="1" ht="21" customHeight="1">
      <c r="A67" s="211"/>
      <c r="B67" s="202"/>
      <c r="C67" s="202"/>
      <c r="D67" s="240"/>
      <c r="E67" s="240"/>
      <c r="F67" s="240"/>
      <c r="G67" s="240"/>
      <c r="H67" s="240"/>
      <c r="I67" s="213"/>
      <c r="J67" s="213"/>
      <c r="K67" s="240"/>
      <c r="L67" s="202"/>
      <c r="M67" s="213"/>
      <c r="N67" s="213"/>
      <c r="O67" s="213"/>
      <c r="P67" s="202"/>
      <c r="Q67" s="202"/>
      <c r="R67" s="202"/>
      <c r="S67" s="203"/>
    </row>
    <row r="68" spans="1:19" s="212" customFormat="1" ht="21" customHeight="1">
      <c r="A68" s="211"/>
      <c r="B68" s="202"/>
      <c r="C68" s="202"/>
      <c r="D68" s="240"/>
      <c r="E68" s="240"/>
      <c r="F68" s="240"/>
      <c r="G68" s="240"/>
      <c r="H68" s="240"/>
      <c r="I68" s="213"/>
      <c r="J68" s="213"/>
      <c r="K68" s="240"/>
      <c r="L68" s="202"/>
      <c r="M68" s="213"/>
      <c r="N68" s="213"/>
      <c r="O68" s="213"/>
      <c r="P68" s="202"/>
      <c r="Q68" s="202"/>
      <c r="R68" s="202"/>
      <c r="S68" s="203"/>
    </row>
    <row r="69" spans="1:19" s="212" customFormat="1">
      <c r="A69" s="211"/>
      <c r="B69" s="202"/>
      <c r="C69" s="202"/>
      <c r="D69" s="240"/>
      <c r="E69" s="240"/>
      <c r="F69" s="240"/>
      <c r="G69" s="240"/>
      <c r="H69" s="240"/>
      <c r="I69" s="213"/>
      <c r="J69" s="213"/>
      <c r="K69" s="240"/>
      <c r="L69" s="202"/>
      <c r="M69" s="213"/>
      <c r="N69" s="213"/>
      <c r="O69" s="213"/>
      <c r="P69" s="202"/>
      <c r="Q69" s="202"/>
      <c r="R69" s="202"/>
      <c r="S69" s="203"/>
    </row>
    <row r="70" spans="1:19" s="212" customFormat="1">
      <c r="A70" s="211"/>
      <c r="B70" s="202"/>
      <c r="C70" s="202"/>
      <c r="D70" s="240"/>
      <c r="E70" s="240"/>
      <c r="F70" s="240"/>
      <c r="G70" s="240"/>
      <c r="H70" s="240"/>
      <c r="I70" s="213"/>
      <c r="J70" s="213"/>
      <c r="K70" s="240"/>
      <c r="L70" s="202"/>
      <c r="M70" s="213"/>
      <c r="N70" s="213"/>
      <c r="O70" s="213"/>
      <c r="P70" s="202"/>
      <c r="Q70" s="202"/>
      <c r="R70" s="202"/>
      <c r="S70" s="203"/>
    </row>
    <row r="71" spans="1:19" s="212" customFormat="1">
      <c r="A71" s="211"/>
      <c r="B71" s="202"/>
      <c r="C71" s="202"/>
      <c r="D71" s="240"/>
      <c r="E71" s="240"/>
      <c r="F71" s="240"/>
      <c r="G71" s="240"/>
      <c r="H71" s="240"/>
      <c r="I71" s="213"/>
      <c r="J71" s="213"/>
      <c r="K71" s="240"/>
      <c r="L71" s="202"/>
      <c r="M71" s="213"/>
      <c r="N71" s="213"/>
      <c r="O71" s="213"/>
      <c r="P71" s="202"/>
      <c r="Q71" s="202"/>
      <c r="R71" s="202"/>
      <c r="S71" s="203"/>
    </row>
    <row r="72" spans="1:19" s="212" customFormat="1">
      <c r="A72" s="211"/>
      <c r="B72" s="202"/>
      <c r="C72" s="202"/>
      <c r="D72" s="240"/>
      <c r="E72" s="240"/>
      <c r="F72" s="240"/>
      <c r="G72" s="240"/>
      <c r="H72" s="240"/>
      <c r="I72" s="213"/>
      <c r="J72" s="213"/>
      <c r="K72" s="240"/>
      <c r="L72" s="202"/>
      <c r="M72" s="213"/>
      <c r="N72" s="213"/>
      <c r="O72" s="213"/>
      <c r="P72" s="202"/>
      <c r="Q72" s="202"/>
      <c r="R72" s="202"/>
      <c r="S72" s="203"/>
    </row>
    <row r="73" spans="1:19" s="212" customFormat="1">
      <c r="A73" s="211"/>
      <c r="B73" s="202"/>
      <c r="C73" s="202"/>
      <c r="D73" s="240"/>
      <c r="E73" s="240"/>
      <c r="F73" s="240"/>
      <c r="G73" s="240"/>
      <c r="H73" s="240"/>
      <c r="I73" s="213"/>
      <c r="J73" s="213"/>
      <c r="K73" s="240"/>
      <c r="L73" s="202"/>
      <c r="M73" s="213"/>
      <c r="N73" s="213"/>
      <c r="O73" s="213"/>
      <c r="P73" s="202"/>
      <c r="Q73" s="202"/>
      <c r="R73" s="202"/>
      <c r="S73" s="203"/>
    </row>
    <row r="74" spans="1:19" s="212" customFormat="1">
      <c r="A74" s="211"/>
      <c r="B74" s="202"/>
      <c r="C74" s="202"/>
      <c r="D74" s="240"/>
      <c r="E74" s="240"/>
      <c r="F74" s="240"/>
      <c r="G74" s="240"/>
      <c r="H74" s="240"/>
      <c r="I74" s="213"/>
      <c r="J74" s="213"/>
      <c r="K74" s="240"/>
      <c r="L74" s="202"/>
      <c r="M74" s="213"/>
      <c r="N74" s="213"/>
      <c r="O74" s="213"/>
      <c r="P74" s="202"/>
      <c r="Q74" s="202"/>
      <c r="R74" s="202"/>
      <c r="S74" s="203"/>
    </row>
    <row r="75" spans="1:19" ht="21" customHeight="1" thickBot="1">
      <c r="A75" s="384" t="s">
        <v>204</v>
      </c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</row>
    <row r="76" spans="1:19" s="176" customFormat="1" ht="21.75" customHeight="1">
      <c r="A76" s="172" t="s">
        <v>162</v>
      </c>
      <c r="B76" s="385" t="s">
        <v>163</v>
      </c>
      <c r="C76" s="386"/>
      <c r="D76" s="387"/>
      <c r="E76" s="242" t="s">
        <v>164</v>
      </c>
      <c r="F76" s="385" t="s">
        <v>165</v>
      </c>
      <c r="G76" s="387"/>
      <c r="H76" s="173" t="s">
        <v>166</v>
      </c>
      <c r="I76" s="385" t="s">
        <v>167</v>
      </c>
      <c r="J76" s="387"/>
      <c r="K76" s="388" t="s">
        <v>168</v>
      </c>
      <c r="L76" s="389"/>
      <c r="M76" s="385" t="s">
        <v>169</v>
      </c>
      <c r="N76" s="386"/>
      <c r="O76" s="387"/>
      <c r="P76" s="174" t="s">
        <v>170</v>
      </c>
      <c r="Q76" s="174" t="s">
        <v>171</v>
      </c>
      <c r="R76" s="173" t="s">
        <v>172</v>
      </c>
      <c r="S76" s="175" t="s">
        <v>144</v>
      </c>
    </row>
    <row r="77" spans="1:19" s="176" customFormat="1" ht="22.5" thickBot="1">
      <c r="A77" s="177" t="s">
        <v>173</v>
      </c>
      <c r="B77" s="178" t="s">
        <v>174</v>
      </c>
      <c r="C77" s="179" t="s">
        <v>175</v>
      </c>
      <c r="D77" s="179" t="s">
        <v>176</v>
      </c>
      <c r="E77" s="180" t="s">
        <v>177</v>
      </c>
      <c r="F77" s="178" t="s">
        <v>209</v>
      </c>
      <c r="G77" s="178" t="s">
        <v>178</v>
      </c>
      <c r="H77" s="178" t="s">
        <v>179</v>
      </c>
      <c r="I77" s="180" t="s">
        <v>180</v>
      </c>
      <c r="J77" s="180" t="s">
        <v>181</v>
      </c>
      <c r="K77" s="178" t="s">
        <v>182</v>
      </c>
      <c r="L77" s="181" t="s">
        <v>210</v>
      </c>
      <c r="M77" s="179" t="s">
        <v>183</v>
      </c>
      <c r="N77" s="179" t="s">
        <v>184</v>
      </c>
      <c r="O77" s="241" t="s">
        <v>185</v>
      </c>
      <c r="P77" s="181" t="s">
        <v>186</v>
      </c>
      <c r="Q77" s="181" t="s">
        <v>187</v>
      </c>
      <c r="R77" s="180" t="s">
        <v>188</v>
      </c>
      <c r="S77" s="182"/>
    </row>
    <row r="78" spans="1:19" ht="21" customHeight="1">
      <c r="A78" s="197">
        <v>533000</v>
      </c>
      <c r="B78" s="206"/>
      <c r="C78" s="206"/>
      <c r="D78" s="184"/>
      <c r="E78" s="194"/>
      <c r="F78" s="190"/>
      <c r="G78" s="190"/>
      <c r="H78" s="214"/>
      <c r="I78" s="187"/>
      <c r="J78" s="194"/>
      <c r="K78" s="214"/>
      <c r="L78" s="190"/>
      <c r="M78" s="194"/>
      <c r="N78" s="194"/>
      <c r="O78" s="194"/>
      <c r="P78" s="190"/>
      <c r="Q78" s="205"/>
      <c r="R78" s="194"/>
      <c r="S78" s="190"/>
    </row>
    <row r="79" spans="1:19" ht="21" customHeight="1">
      <c r="A79" s="215">
        <v>330100</v>
      </c>
      <c r="B79" s="192">
        <v>0</v>
      </c>
      <c r="C79" s="192">
        <v>0</v>
      </c>
      <c r="D79" s="192">
        <v>4316.05</v>
      </c>
      <c r="E79" s="192">
        <v>0</v>
      </c>
      <c r="F79" s="192">
        <v>0</v>
      </c>
      <c r="G79" s="192">
        <v>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0</v>
      </c>
      <c r="S79" s="190">
        <f t="shared" ref="S79:S94" si="11">SUM(B79:R79)</f>
        <v>4316.05</v>
      </c>
    </row>
    <row r="80" spans="1:19" ht="21" customHeight="1">
      <c r="A80" s="215">
        <v>330200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v>0</v>
      </c>
      <c r="R80" s="192">
        <v>0</v>
      </c>
      <c r="S80" s="190">
        <f t="shared" si="11"/>
        <v>0</v>
      </c>
    </row>
    <row r="81" spans="1:19" ht="21" customHeight="1">
      <c r="A81" s="199">
        <v>330300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0">
        <f t="shared" si="11"/>
        <v>0</v>
      </c>
    </row>
    <row r="82" spans="1:19" ht="21" customHeight="1">
      <c r="A82" s="199">
        <v>330400</v>
      </c>
      <c r="B82" s="192">
        <v>0</v>
      </c>
      <c r="C82" s="192">
        <v>0</v>
      </c>
      <c r="D82" s="192">
        <v>0</v>
      </c>
      <c r="E82" s="192">
        <v>0</v>
      </c>
      <c r="F82" s="192">
        <v>0</v>
      </c>
      <c r="G82" s="192">
        <v>57641.599999999999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  <c r="R82" s="192">
        <v>0</v>
      </c>
      <c r="S82" s="190">
        <f>SUM(B82:R82)</f>
        <v>57641.599999999999</v>
      </c>
    </row>
    <row r="83" spans="1:19" ht="21" customHeight="1">
      <c r="A83" s="199">
        <v>330600</v>
      </c>
      <c r="B83" s="192">
        <v>0</v>
      </c>
      <c r="C83" s="192">
        <v>0</v>
      </c>
      <c r="D83" s="192">
        <v>0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0">
        <f t="shared" si="11"/>
        <v>0</v>
      </c>
    </row>
    <row r="84" spans="1:19" ht="21" customHeight="1">
      <c r="A84" s="199">
        <v>330700</v>
      </c>
      <c r="B84" s="192">
        <v>0</v>
      </c>
      <c r="C84" s="192">
        <v>0</v>
      </c>
      <c r="D84" s="192">
        <v>0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0">
        <f t="shared" si="11"/>
        <v>0</v>
      </c>
    </row>
    <row r="85" spans="1:19" ht="21" customHeight="1">
      <c r="A85" s="199">
        <v>330800</v>
      </c>
      <c r="B85" s="192">
        <v>13970</v>
      </c>
      <c r="C85" s="192">
        <v>0</v>
      </c>
      <c r="D85" s="192"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192">
        <v>0</v>
      </c>
      <c r="Q85" s="192">
        <v>0</v>
      </c>
      <c r="R85" s="192">
        <v>0</v>
      </c>
      <c r="S85" s="190">
        <f t="shared" si="11"/>
        <v>13970</v>
      </c>
    </row>
    <row r="86" spans="1:19" ht="21" customHeight="1">
      <c r="A86" s="199">
        <v>330900</v>
      </c>
      <c r="B86" s="192">
        <v>0</v>
      </c>
      <c r="C86" s="192">
        <v>0</v>
      </c>
      <c r="D86" s="192">
        <v>0</v>
      </c>
      <c r="E86" s="192">
        <v>0</v>
      </c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0</v>
      </c>
      <c r="S86" s="190">
        <f t="shared" si="11"/>
        <v>0</v>
      </c>
    </row>
    <row r="87" spans="1:19" ht="21" customHeight="1">
      <c r="A87" s="199">
        <v>331000</v>
      </c>
      <c r="B87" s="192">
        <v>0</v>
      </c>
      <c r="C87" s="192">
        <v>0</v>
      </c>
      <c r="D87" s="192">
        <v>0</v>
      </c>
      <c r="E87" s="192">
        <v>0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0">
        <f t="shared" si="11"/>
        <v>0</v>
      </c>
    </row>
    <row r="88" spans="1:19" ht="21" customHeight="1">
      <c r="A88" s="199">
        <v>331100</v>
      </c>
      <c r="B88" s="192">
        <v>0</v>
      </c>
      <c r="C88" s="192">
        <v>0</v>
      </c>
      <c r="D88" s="192">
        <v>0</v>
      </c>
      <c r="E88" s="192">
        <v>0</v>
      </c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0</v>
      </c>
      <c r="O88" s="192">
        <v>0</v>
      </c>
      <c r="P88" s="192">
        <v>0</v>
      </c>
      <c r="Q88" s="192">
        <v>0</v>
      </c>
      <c r="R88" s="192">
        <v>0</v>
      </c>
      <c r="S88" s="190">
        <f t="shared" si="11"/>
        <v>0</v>
      </c>
    </row>
    <row r="89" spans="1:19" ht="21" customHeight="1">
      <c r="A89" s="199">
        <v>331400</v>
      </c>
      <c r="B89" s="192">
        <v>0</v>
      </c>
      <c r="C89" s="192">
        <v>0</v>
      </c>
      <c r="D89" s="192">
        <v>8100</v>
      </c>
      <c r="E89" s="192">
        <v>0</v>
      </c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0</v>
      </c>
      <c r="O89" s="192">
        <v>0</v>
      </c>
      <c r="P89" s="192">
        <v>0</v>
      </c>
      <c r="Q89" s="192">
        <v>0</v>
      </c>
      <c r="R89" s="192">
        <v>0</v>
      </c>
      <c r="S89" s="190">
        <f t="shared" si="11"/>
        <v>8100</v>
      </c>
    </row>
    <row r="90" spans="1:19" ht="21" customHeight="1">
      <c r="A90" s="199">
        <v>331700</v>
      </c>
      <c r="B90" s="192">
        <v>0</v>
      </c>
      <c r="C90" s="192">
        <v>0</v>
      </c>
      <c r="D90" s="192">
        <v>0</v>
      </c>
      <c r="E90" s="192">
        <v>0</v>
      </c>
      <c r="F90" s="192">
        <v>0</v>
      </c>
      <c r="G90" s="192">
        <v>0</v>
      </c>
      <c r="H90" s="192">
        <f>13200-13200</f>
        <v>0</v>
      </c>
      <c r="I90" s="192">
        <v>0</v>
      </c>
      <c r="J90" s="192">
        <v>0</v>
      </c>
      <c r="K90" s="192">
        <f>13200-13200</f>
        <v>0</v>
      </c>
      <c r="L90" s="192">
        <v>0</v>
      </c>
      <c r="M90" s="192">
        <v>0</v>
      </c>
      <c r="N90" s="192">
        <v>0</v>
      </c>
      <c r="O90" s="192">
        <v>0</v>
      </c>
      <c r="P90" s="192">
        <v>0</v>
      </c>
      <c r="Q90" s="192">
        <v>0</v>
      </c>
      <c r="R90" s="192">
        <v>0</v>
      </c>
      <c r="S90" s="190">
        <f t="shared" si="11"/>
        <v>0</v>
      </c>
    </row>
    <row r="91" spans="1:19" ht="21" customHeight="1">
      <c r="A91" s="199">
        <v>331800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f>13200-13200</f>
        <v>0</v>
      </c>
      <c r="I91" s="192">
        <v>0</v>
      </c>
      <c r="J91" s="192">
        <v>0</v>
      </c>
      <c r="K91" s="192">
        <f>13200-13200</f>
        <v>0</v>
      </c>
      <c r="L91" s="192">
        <v>0</v>
      </c>
      <c r="M91" s="192">
        <v>0</v>
      </c>
      <c r="N91" s="192">
        <v>0</v>
      </c>
      <c r="O91" s="192">
        <v>0</v>
      </c>
      <c r="P91" s="192">
        <v>0</v>
      </c>
      <c r="Q91" s="192">
        <v>0</v>
      </c>
      <c r="R91" s="192">
        <v>0</v>
      </c>
      <c r="S91" s="190">
        <f t="shared" si="11"/>
        <v>0</v>
      </c>
    </row>
    <row r="92" spans="1:19" ht="21" customHeight="1">
      <c r="A92" s="199">
        <v>331900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192">
        <v>0</v>
      </c>
      <c r="H92" s="192">
        <f>13200-13200</f>
        <v>0</v>
      </c>
      <c r="I92" s="192">
        <v>0</v>
      </c>
      <c r="J92" s="192">
        <v>0</v>
      </c>
      <c r="K92" s="192">
        <f>13200-13200</f>
        <v>0</v>
      </c>
      <c r="L92" s="192">
        <v>0</v>
      </c>
      <c r="M92" s="192">
        <v>0</v>
      </c>
      <c r="N92" s="192">
        <v>0</v>
      </c>
      <c r="O92" s="192">
        <v>0</v>
      </c>
      <c r="P92" s="192">
        <v>0</v>
      </c>
      <c r="Q92" s="192">
        <v>0</v>
      </c>
      <c r="R92" s="192">
        <v>0</v>
      </c>
      <c r="S92" s="190">
        <f t="shared" si="11"/>
        <v>0</v>
      </c>
    </row>
    <row r="93" spans="1:19" s="171" customFormat="1" ht="21">
      <c r="A93" s="193" t="s">
        <v>197</v>
      </c>
      <c r="B93" s="194">
        <f t="shared" ref="B93:R93" si="12">SUM(B79:B92)</f>
        <v>13970</v>
      </c>
      <c r="C93" s="194">
        <f t="shared" si="12"/>
        <v>0</v>
      </c>
      <c r="D93" s="194">
        <f t="shared" si="12"/>
        <v>12416.05</v>
      </c>
      <c r="E93" s="194">
        <f t="shared" si="12"/>
        <v>0</v>
      </c>
      <c r="F93" s="194">
        <f t="shared" si="12"/>
        <v>0</v>
      </c>
      <c r="G93" s="194">
        <f t="shared" si="12"/>
        <v>57641.599999999999</v>
      </c>
      <c r="H93" s="194">
        <f t="shared" si="12"/>
        <v>0</v>
      </c>
      <c r="I93" s="194">
        <f t="shared" si="12"/>
        <v>0</v>
      </c>
      <c r="J93" s="194">
        <f t="shared" si="12"/>
        <v>0</v>
      </c>
      <c r="K93" s="194">
        <f t="shared" si="12"/>
        <v>0</v>
      </c>
      <c r="L93" s="194">
        <f t="shared" si="12"/>
        <v>0</v>
      </c>
      <c r="M93" s="194">
        <f t="shared" si="12"/>
        <v>0</v>
      </c>
      <c r="N93" s="194">
        <f t="shared" si="12"/>
        <v>0</v>
      </c>
      <c r="O93" s="194">
        <f t="shared" si="12"/>
        <v>0</v>
      </c>
      <c r="P93" s="194">
        <f t="shared" si="12"/>
        <v>0</v>
      </c>
      <c r="Q93" s="194">
        <f t="shared" si="12"/>
        <v>0</v>
      </c>
      <c r="R93" s="194">
        <f t="shared" si="12"/>
        <v>0</v>
      </c>
      <c r="S93" s="195">
        <f t="shared" si="11"/>
        <v>84027.65</v>
      </c>
    </row>
    <row r="94" spans="1:19" s="196" customFormat="1" ht="21">
      <c r="A94" s="193" t="s">
        <v>198</v>
      </c>
      <c r="B94" s="194">
        <f>64332+13196+17688+13970</f>
        <v>109186</v>
      </c>
      <c r="C94" s="194">
        <v>0</v>
      </c>
      <c r="D94" s="194">
        <f>9330+4500+12416.05</f>
        <v>26246.05</v>
      </c>
      <c r="E94" s="194">
        <f>0</f>
        <v>0</v>
      </c>
      <c r="F94" s="194">
        <v>0</v>
      </c>
      <c r="G94" s="194">
        <f>60247.32+57641.6</f>
        <v>117888.92</v>
      </c>
      <c r="H94" s="194">
        <v>0</v>
      </c>
      <c r="I94" s="194">
        <v>20044</v>
      </c>
      <c r="J94" s="194">
        <f>0</f>
        <v>0</v>
      </c>
      <c r="K94" s="194">
        <v>0</v>
      </c>
      <c r="L94" s="194">
        <f>0</f>
        <v>0</v>
      </c>
      <c r="M94" s="194">
        <v>0</v>
      </c>
      <c r="N94" s="194">
        <v>0</v>
      </c>
      <c r="O94" s="194">
        <f>0</f>
        <v>0</v>
      </c>
      <c r="P94" s="194">
        <v>0</v>
      </c>
      <c r="Q94" s="194">
        <v>74900</v>
      </c>
      <c r="R94" s="194">
        <f>0</f>
        <v>0</v>
      </c>
      <c r="S94" s="195">
        <f t="shared" si="11"/>
        <v>348264.97</v>
      </c>
    </row>
    <row r="95" spans="1:19" ht="21" customHeight="1">
      <c r="A95" s="197">
        <v>534000</v>
      </c>
      <c r="B95" s="198"/>
      <c r="C95" s="198"/>
      <c r="D95" s="195"/>
      <c r="E95" s="195"/>
      <c r="F95" s="190"/>
      <c r="G95" s="190"/>
      <c r="H95" s="195"/>
      <c r="I95" s="195"/>
      <c r="J95" s="194"/>
      <c r="K95" s="195"/>
      <c r="L95" s="190"/>
      <c r="M95" s="195"/>
      <c r="N95" s="195"/>
      <c r="O95" s="195"/>
      <c r="P95" s="190"/>
      <c r="Q95" s="195"/>
      <c r="R95" s="194"/>
      <c r="S95" s="190"/>
    </row>
    <row r="96" spans="1:19" ht="21" customHeight="1">
      <c r="A96" s="199">
        <v>340100</v>
      </c>
      <c r="B96" s="192">
        <v>10978.97</v>
      </c>
      <c r="C96" s="192">
        <v>0</v>
      </c>
      <c r="D96" s="192">
        <v>0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2">
        <v>0</v>
      </c>
      <c r="P96" s="192">
        <v>0</v>
      </c>
      <c r="Q96" s="192">
        <v>28890.880000000001</v>
      </c>
      <c r="R96" s="192">
        <v>0</v>
      </c>
      <c r="S96" s="190">
        <f t="shared" ref="S96:S101" si="13">SUM(B96:R96)</f>
        <v>39869.85</v>
      </c>
    </row>
    <row r="97" spans="1:19" ht="21" customHeight="1">
      <c r="A97" s="199">
        <v>340300</v>
      </c>
      <c r="B97" s="192">
        <v>0</v>
      </c>
      <c r="C97" s="192">
        <v>0</v>
      </c>
      <c r="D97" s="192">
        <v>0</v>
      </c>
      <c r="E97" s="192">
        <v>0</v>
      </c>
      <c r="F97" s="192">
        <v>0</v>
      </c>
      <c r="G97" s="192">
        <v>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192">
        <v>0</v>
      </c>
      <c r="Q97" s="192">
        <v>0</v>
      </c>
      <c r="R97" s="192">
        <v>0</v>
      </c>
      <c r="S97" s="190">
        <f t="shared" si="13"/>
        <v>0</v>
      </c>
    </row>
    <row r="98" spans="1:19" ht="21" customHeight="1">
      <c r="A98" s="199">
        <v>340400</v>
      </c>
      <c r="B98" s="192">
        <v>1325</v>
      </c>
      <c r="C98" s="192">
        <v>0</v>
      </c>
      <c r="D98" s="192">
        <v>0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0">
        <f t="shared" si="13"/>
        <v>1325</v>
      </c>
    </row>
    <row r="99" spans="1:19" ht="21" customHeight="1">
      <c r="A99" s="199">
        <v>340500</v>
      </c>
      <c r="B99" s="192">
        <v>0</v>
      </c>
      <c r="C99" s="192">
        <v>0</v>
      </c>
      <c r="D99" s="192">
        <v>0</v>
      </c>
      <c r="E99" s="192">
        <v>0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192">
        <v>0</v>
      </c>
      <c r="Q99" s="192">
        <v>0</v>
      </c>
      <c r="R99" s="192">
        <v>0</v>
      </c>
      <c r="S99" s="190">
        <f t="shared" si="13"/>
        <v>0</v>
      </c>
    </row>
    <row r="100" spans="1:19">
      <c r="A100" s="193" t="s">
        <v>197</v>
      </c>
      <c r="B100" s="195">
        <f t="shared" ref="B100:R100" si="14">SUM(B96:B99)</f>
        <v>12303.97</v>
      </c>
      <c r="C100" s="195">
        <f t="shared" si="14"/>
        <v>0</v>
      </c>
      <c r="D100" s="195">
        <f t="shared" si="14"/>
        <v>0</v>
      </c>
      <c r="E100" s="195">
        <f t="shared" si="14"/>
        <v>0</v>
      </c>
      <c r="F100" s="195">
        <f t="shared" si="14"/>
        <v>0</v>
      </c>
      <c r="G100" s="195">
        <f t="shared" si="14"/>
        <v>0</v>
      </c>
      <c r="H100" s="195">
        <f t="shared" si="14"/>
        <v>0</v>
      </c>
      <c r="I100" s="195">
        <f t="shared" si="14"/>
        <v>0</v>
      </c>
      <c r="J100" s="195">
        <f t="shared" si="14"/>
        <v>0</v>
      </c>
      <c r="K100" s="195">
        <f t="shared" si="14"/>
        <v>0</v>
      </c>
      <c r="L100" s="195">
        <f t="shared" si="14"/>
        <v>0</v>
      </c>
      <c r="M100" s="195">
        <f t="shared" si="14"/>
        <v>0</v>
      </c>
      <c r="N100" s="195">
        <f t="shared" si="14"/>
        <v>0</v>
      </c>
      <c r="O100" s="195">
        <f t="shared" si="14"/>
        <v>0</v>
      </c>
      <c r="P100" s="195">
        <f t="shared" si="14"/>
        <v>0</v>
      </c>
      <c r="Q100" s="195">
        <f t="shared" si="14"/>
        <v>28890.880000000001</v>
      </c>
      <c r="R100" s="195">
        <f t="shared" si="14"/>
        <v>0</v>
      </c>
      <c r="S100" s="195">
        <f t="shared" si="13"/>
        <v>41194.85</v>
      </c>
    </row>
    <row r="101" spans="1:19" s="200" customFormat="1">
      <c r="A101" s="193" t="s">
        <v>198</v>
      </c>
      <c r="B101" s="194">
        <f>10531.51+19785.9+18738.24+26166.7+12303.97</f>
        <v>87526.32</v>
      </c>
      <c r="C101" s="194">
        <v>0</v>
      </c>
      <c r="D101" s="194">
        <f>0</f>
        <v>0</v>
      </c>
      <c r="E101" s="194">
        <f>0</f>
        <v>0</v>
      </c>
      <c r="F101" s="194">
        <f>0</f>
        <v>0</v>
      </c>
      <c r="G101" s="194">
        <f>0</f>
        <v>0</v>
      </c>
      <c r="H101" s="194">
        <f>0</f>
        <v>0</v>
      </c>
      <c r="I101" s="194">
        <v>0</v>
      </c>
      <c r="J101" s="194">
        <f>0</f>
        <v>0</v>
      </c>
      <c r="K101" s="194">
        <f>0</f>
        <v>0</v>
      </c>
      <c r="L101" s="194">
        <f>0</f>
        <v>0</v>
      </c>
      <c r="M101" s="194">
        <f>0</f>
        <v>0</v>
      </c>
      <c r="N101" s="194">
        <f>0</f>
        <v>0</v>
      </c>
      <c r="O101" s="194">
        <f>0</f>
        <v>0</v>
      </c>
      <c r="P101" s="194">
        <f>0</f>
        <v>0</v>
      </c>
      <c r="Q101" s="194">
        <f>25477.83+27731.08+26263.91+28493.71+28890.88</f>
        <v>136857.41</v>
      </c>
      <c r="R101" s="194">
        <f>0</f>
        <v>0</v>
      </c>
      <c r="S101" s="195">
        <f t="shared" si="13"/>
        <v>224383.73</v>
      </c>
    </row>
    <row r="102" spans="1:19" s="200" customFormat="1" ht="21" customHeight="1">
      <c r="A102" s="211"/>
      <c r="B102" s="216"/>
      <c r="C102" s="202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216"/>
      <c r="P102" s="216"/>
      <c r="Q102" s="216"/>
      <c r="R102" s="216"/>
      <c r="S102" s="217"/>
    </row>
    <row r="103" spans="1:19" s="200" customFormat="1" ht="21" customHeight="1">
      <c r="A103" s="211"/>
      <c r="B103" s="213"/>
      <c r="C103" s="213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13"/>
      <c r="O103" s="213"/>
      <c r="P103" s="213"/>
      <c r="Q103" s="213"/>
      <c r="R103" s="213"/>
      <c r="S103" s="218"/>
    </row>
    <row r="104" spans="1:19" s="200" customFormat="1" ht="21" customHeight="1">
      <c r="A104" s="211"/>
      <c r="B104" s="213"/>
      <c r="C104" s="213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13"/>
      <c r="O104" s="213"/>
      <c r="P104" s="213"/>
      <c r="Q104" s="213"/>
      <c r="R104" s="213"/>
      <c r="S104" s="218"/>
    </row>
    <row r="105" spans="1:19" s="200" customFormat="1" ht="21" customHeight="1">
      <c r="A105" s="211"/>
      <c r="B105" s="213"/>
      <c r="C105" s="213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13"/>
      <c r="O105" s="213"/>
      <c r="P105" s="213"/>
      <c r="Q105" s="213"/>
      <c r="R105" s="213"/>
      <c r="S105" s="218"/>
    </row>
    <row r="106" spans="1:19" s="200" customFormat="1" ht="21" customHeight="1">
      <c r="A106" s="211"/>
      <c r="B106" s="213"/>
      <c r="C106" s="213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13"/>
      <c r="O106" s="213"/>
      <c r="P106" s="213"/>
      <c r="Q106" s="213"/>
      <c r="R106" s="213"/>
      <c r="S106" s="218"/>
    </row>
    <row r="107" spans="1:19" s="200" customFormat="1" ht="21" customHeight="1">
      <c r="A107" s="211"/>
      <c r="B107" s="213"/>
      <c r="C107" s="213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13"/>
      <c r="O107" s="213"/>
      <c r="P107" s="213"/>
      <c r="Q107" s="213"/>
      <c r="R107" s="213"/>
      <c r="S107" s="218"/>
    </row>
    <row r="108" spans="1:19" s="200" customFormat="1" ht="21" customHeight="1">
      <c r="A108" s="211"/>
      <c r="B108" s="213"/>
      <c r="C108" s="213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13"/>
      <c r="O108" s="213"/>
      <c r="P108" s="213"/>
      <c r="Q108" s="213"/>
      <c r="R108" s="213"/>
      <c r="S108" s="218"/>
    </row>
    <row r="109" spans="1:19" s="200" customFormat="1" ht="21" customHeight="1">
      <c r="A109" s="211"/>
      <c r="B109" s="213"/>
      <c r="C109" s="21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213"/>
      <c r="P109" s="213"/>
      <c r="Q109" s="213"/>
      <c r="R109" s="213"/>
      <c r="S109" s="218"/>
    </row>
    <row r="110" spans="1:19" s="200" customFormat="1" ht="21" customHeight="1">
      <c r="A110" s="211"/>
      <c r="B110" s="213"/>
      <c r="C110" s="213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13"/>
      <c r="P110" s="213"/>
      <c r="Q110" s="213"/>
      <c r="R110" s="213"/>
      <c r="S110" s="218"/>
    </row>
    <row r="111" spans="1:19" s="200" customFormat="1" ht="21" customHeight="1">
      <c r="A111" s="211"/>
      <c r="B111" s="213"/>
      <c r="C111" s="21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213"/>
      <c r="P111" s="213"/>
      <c r="Q111" s="213"/>
      <c r="R111" s="213"/>
      <c r="S111" s="218"/>
    </row>
    <row r="112" spans="1:19" s="200" customFormat="1" ht="21" customHeight="1">
      <c r="A112" s="211"/>
      <c r="B112" s="213"/>
      <c r="C112" s="213"/>
      <c r="D112" s="383"/>
      <c r="E112" s="383"/>
      <c r="F112" s="240"/>
      <c r="G112" s="240"/>
      <c r="H112" s="240"/>
      <c r="I112" s="383"/>
      <c r="J112" s="383"/>
      <c r="K112" s="383"/>
      <c r="L112" s="383"/>
      <c r="M112" s="213"/>
      <c r="N112" s="213"/>
      <c r="O112" s="213"/>
      <c r="P112" s="213"/>
      <c r="Q112" s="213"/>
      <c r="R112" s="213"/>
      <c r="S112" s="218"/>
    </row>
    <row r="113" spans="1:19" ht="21" customHeight="1" thickBot="1">
      <c r="A113" s="384" t="s">
        <v>205</v>
      </c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</row>
    <row r="114" spans="1:19" s="176" customFormat="1" ht="21.75" customHeight="1">
      <c r="A114" s="172" t="s">
        <v>162</v>
      </c>
      <c r="B114" s="385" t="s">
        <v>163</v>
      </c>
      <c r="C114" s="386"/>
      <c r="D114" s="387"/>
      <c r="E114" s="242" t="s">
        <v>164</v>
      </c>
      <c r="F114" s="385" t="s">
        <v>165</v>
      </c>
      <c r="G114" s="387"/>
      <c r="H114" s="173" t="s">
        <v>166</v>
      </c>
      <c r="I114" s="385" t="s">
        <v>167</v>
      </c>
      <c r="J114" s="387"/>
      <c r="K114" s="388" t="s">
        <v>168</v>
      </c>
      <c r="L114" s="389"/>
      <c r="M114" s="385" t="s">
        <v>169</v>
      </c>
      <c r="N114" s="386"/>
      <c r="O114" s="387"/>
      <c r="P114" s="174" t="s">
        <v>170</v>
      </c>
      <c r="Q114" s="174" t="s">
        <v>171</v>
      </c>
      <c r="R114" s="173" t="s">
        <v>172</v>
      </c>
      <c r="S114" s="175" t="s">
        <v>144</v>
      </c>
    </row>
    <row r="115" spans="1:19" s="176" customFormat="1" ht="22.5" thickBot="1">
      <c r="A115" s="177" t="s">
        <v>173</v>
      </c>
      <c r="B115" s="178" t="s">
        <v>174</v>
      </c>
      <c r="C115" s="179" t="s">
        <v>175</v>
      </c>
      <c r="D115" s="179" t="s">
        <v>176</v>
      </c>
      <c r="E115" s="180" t="s">
        <v>177</v>
      </c>
      <c r="F115" s="178" t="s">
        <v>209</v>
      </c>
      <c r="G115" s="178" t="s">
        <v>178</v>
      </c>
      <c r="H115" s="178" t="s">
        <v>179</v>
      </c>
      <c r="I115" s="180" t="s">
        <v>180</v>
      </c>
      <c r="J115" s="180" t="s">
        <v>181</v>
      </c>
      <c r="K115" s="178" t="s">
        <v>182</v>
      </c>
      <c r="L115" s="181" t="s">
        <v>210</v>
      </c>
      <c r="M115" s="179" t="s">
        <v>183</v>
      </c>
      <c r="N115" s="179" t="s">
        <v>184</v>
      </c>
      <c r="O115" s="241" t="s">
        <v>185</v>
      </c>
      <c r="P115" s="181" t="s">
        <v>186</v>
      </c>
      <c r="Q115" s="181" t="s">
        <v>187</v>
      </c>
      <c r="R115" s="180" t="s">
        <v>188</v>
      </c>
      <c r="S115" s="182"/>
    </row>
    <row r="116" spans="1:19" ht="21" customHeight="1">
      <c r="A116" s="197">
        <v>541000</v>
      </c>
      <c r="B116" s="198"/>
      <c r="C116" s="198"/>
      <c r="D116" s="195"/>
      <c r="E116" s="195"/>
      <c r="F116" s="190"/>
      <c r="G116" s="190"/>
      <c r="H116" s="195"/>
      <c r="I116" s="195"/>
      <c r="J116" s="194"/>
      <c r="K116" s="195"/>
      <c r="L116" s="190"/>
      <c r="M116" s="195"/>
      <c r="N116" s="195"/>
      <c r="O116" s="195"/>
      <c r="P116" s="190"/>
      <c r="Q116" s="195"/>
      <c r="R116" s="194"/>
      <c r="S116" s="190"/>
    </row>
    <row r="117" spans="1:19" ht="21" customHeight="1">
      <c r="A117" s="215">
        <v>410100</v>
      </c>
      <c r="B117" s="191">
        <v>12000</v>
      </c>
      <c r="C117" s="191">
        <v>0</v>
      </c>
      <c r="D117" s="192">
        <v>6000</v>
      </c>
      <c r="E117" s="192">
        <v>0</v>
      </c>
      <c r="F117" s="192">
        <v>0</v>
      </c>
      <c r="G117" s="192">
        <v>0</v>
      </c>
      <c r="H117" s="192">
        <v>0</v>
      </c>
      <c r="I117" s="192">
        <v>6000</v>
      </c>
      <c r="J117" s="192">
        <v>0</v>
      </c>
      <c r="K117" s="192">
        <v>0</v>
      </c>
      <c r="L117" s="192">
        <v>0</v>
      </c>
      <c r="M117" s="190">
        <v>0</v>
      </c>
      <c r="N117" s="190">
        <v>0</v>
      </c>
      <c r="O117" s="192">
        <v>0</v>
      </c>
      <c r="P117" s="192">
        <v>0</v>
      </c>
      <c r="Q117" s="192">
        <v>0</v>
      </c>
      <c r="R117" s="192">
        <v>0</v>
      </c>
      <c r="S117" s="190">
        <f t="shared" ref="S117:S124" si="15">SUM(B117:R117)</f>
        <v>24000</v>
      </c>
    </row>
    <row r="118" spans="1:19" ht="21" customHeight="1">
      <c r="A118" s="199">
        <v>410300</v>
      </c>
      <c r="B118" s="192">
        <v>0</v>
      </c>
      <c r="C118" s="192">
        <v>0</v>
      </c>
      <c r="D118" s="192">
        <v>0</v>
      </c>
      <c r="E118" s="192">
        <v>0</v>
      </c>
      <c r="F118" s="192">
        <v>0</v>
      </c>
      <c r="G118" s="192">
        <v>0</v>
      </c>
      <c r="H118" s="192">
        <v>0</v>
      </c>
      <c r="I118" s="192">
        <v>0</v>
      </c>
      <c r="J118" s="192">
        <v>0</v>
      </c>
      <c r="K118" s="192">
        <v>0</v>
      </c>
      <c r="L118" s="192">
        <v>0</v>
      </c>
      <c r="M118" s="192">
        <v>0</v>
      </c>
      <c r="N118" s="192">
        <v>0</v>
      </c>
      <c r="O118" s="192">
        <v>0</v>
      </c>
      <c r="P118" s="192">
        <v>0</v>
      </c>
      <c r="Q118" s="192">
        <v>0</v>
      </c>
      <c r="R118" s="192">
        <v>0</v>
      </c>
      <c r="S118" s="190">
        <f t="shared" si="15"/>
        <v>0</v>
      </c>
    </row>
    <row r="119" spans="1:19" ht="21" customHeight="1">
      <c r="A119" s="199">
        <v>410400</v>
      </c>
      <c r="B119" s="192">
        <v>0</v>
      </c>
      <c r="C119" s="192">
        <v>0</v>
      </c>
      <c r="D119" s="192">
        <v>0</v>
      </c>
      <c r="E119" s="192">
        <v>0</v>
      </c>
      <c r="F119" s="192">
        <v>0</v>
      </c>
      <c r="G119" s="192">
        <v>0</v>
      </c>
      <c r="H119" s="192">
        <v>0</v>
      </c>
      <c r="I119" s="192">
        <v>0</v>
      </c>
      <c r="J119" s="192">
        <v>0</v>
      </c>
      <c r="K119" s="192">
        <v>0</v>
      </c>
      <c r="L119" s="192">
        <v>0</v>
      </c>
      <c r="M119" s="192">
        <v>0</v>
      </c>
      <c r="N119" s="192">
        <v>0</v>
      </c>
      <c r="O119" s="192">
        <v>0</v>
      </c>
      <c r="P119" s="192">
        <v>0</v>
      </c>
      <c r="Q119" s="192">
        <v>0</v>
      </c>
      <c r="R119" s="192">
        <v>0</v>
      </c>
      <c r="S119" s="190">
        <f>SUM(B119:R119)</f>
        <v>0</v>
      </c>
    </row>
    <row r="120" spans="1:19" ht="21" customHeight="1">
      <c r="A120" s="199">
        <v>410900</v>
      </c>
      <c r="B120" s="192">
        <v>0</v>
      </c>
      <c r="C120" s="192">
        <v>0</v>
      </c>
      <c r="D120" s="192">
        <v>0</v>
      </c>
      <c r="E120" s="192">
        <v>0</v>
      </c>
      <c r="F120" s="192">
        <v>0</v>
      </c>
      <c r="G120" s="192">
        <v>0</v>
      </c>
      <c r="H120" s="192">
        <v>0</v>
      </c>
      <c r="I120" s="192">
        <v>0</v>
      </c>
      <c r="J120" s="192">
        <v>0</v>
      </c>
      <c r="K120" s="192">
        <v>0</v>
      </c>
      <c r="L120" s="192">
        <v>0</v>
      </c>
      <c r="M120" s="192">
        <v>0</v>
      </c>
      <c r="N120" s="192">
        <v>0</v>
      </c>
      <c r="O120" s="192">
        <v>0</v>
      </c>
      <c r="P120" s="192">
        <v>0</v>
      </c>
      <c r="Q120" s="192">
        <v>0</v>
      </c>
      <c r="R120" s="192">
        <v>0</v>
      </c>
      <c r="S120" s="190">
        <f t="shared" si="15"/>
        <v>0</v>
      </c>
    </row>
    <row r="121" spans="1:19" ht="21" customHeight="1">
      <c r="A121" s="199">
        <v>411600</v>
      </c>
      <c r="B121" s="192">
        <v>16000</v>
      </c>
      <c r="C121" s="192">
        <v>0</v>
      </c>
      <c r="D121" s="192">
        <v>0</v>
      </c>
      <c r="E121" s="192">
        <v>0</v>
      </c>
      <c r="F121" s="192">
        <v>0</v>
      </c>
      <c r="G121" s="192">
        <v>0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2">
        <v>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0">
        <f t="shared" si="15"/>
        <v>16000</v>
      </c>
    </row>
    <row r="122" spans="1:19" ht="21" customHeight="1">
      <c r="A122" s="199">
        <v>411800</v>
      </c>
      <c r="B122" s="192">
        <v>74650</v>
      </c>
      <c r="C122" s="192">
        <v>0</v>
      </c>
      <c r="D122" s="192">
        <v>0</v>
      </c>
      <c r="E122" s="192">
        <v>0</v>
      </c>
      <c r="F122" s="192">
        <v>0</v>
      </c>
      <c r="G122" s="192">
        <v>0</v>
      </c>
      <c r="H122" s="192">
        <v>0</v>
      </c>
      <c r="I122" s="192">
        <v>2900</v>
      </c>
      <c r="J122" s="192">
        <v>0</v>
      </c>
      <c r="K122" s="192">
        <v>0</v>
      </c>
      <c r="L122" s="192">
        <v>0</v>
      </c>
      <c r="M122" s="192">
        <v>0</v>
      </c>
      <c r="N122" s="192">
        <v>0</v>
      </c>
      <c r="O122" s="192">
        <v>0</v>
      </c>
      <c r="P122" s="192">
        <v>0</v>
      </c>
      <c r="Q122" s="192">
        <v>0</v>
      </c>
      <c r="R122" s="192">
        <v>0</v>
      </c>
      <c r="S122" s="190">
        <f t="shared" si="15"/>
        <v>77550</v>
      </c>
    </row>
    <row r="123" spans="1:19">
      <c r="A123" s="193" t="s">
        <v>197</v>
      </c>
      <c r="B123" s="195">
        <f t="shared" ref="B123:R123" si="16">SUM(B117:B122)</f>
        <v>102650</v>
      </c>
      <c r="C123" s="195">
        <f t="shared" si="16"/>
        <v>0</v>
      </c>
      <c r="D123" s="195">
        <f t="shared" si="16"/>
        <v>6000</v>
      </c>
      <c r="E123" s="195">
        <f t="shared" si="16"/>
        <v>0</v>
      </c>
      <c r="F123" s="195">
        <f t="shared" si="16"/>
        <v>0</v>
      </c>
      <c r="G123" s="195">
        <f t="shared" si="16"/>
        <v>0</v>
      </c>
      <c r="H123" s="195">
        <f t="shared" si="16"/>
        <v>0</v>
      </c>
      <c r="I123" s="195">
        <f t="shared" si="16"/>
        <v>8900</v>
      </c>
      <c r="J123" s="195">
        <f t="shared" si="16"/>
        <v>0</v>
      </c>
      <c r="K123" s="195">
        <f t="shared" si="16"/>
        <v>0</v>
      </c>
      <c r="L123" s="195">
        <f t="shared" si="16"/>
        <v>0</v>
      </c>
      <c r="M123" s="195">
        <f t="shared" si="16"/>
        <v>0</v>
      </c>
      <c r="N123" s="195">
        <f t="shared" si="16"/>
        <v>0</v>
      </c>
      <c r="O123" s="195">
        <f t="shared" si="16"/>
        <v>0</v>
      </c>
      <c r="P123" s="195">
        <f t="shared" si="16"/>
        <v>0</v>
      </c>
      <c r="Q123" s="195">
        <f t="shared" si="16"/>
        <v>0</v>
      </c>
      <c r="R123" s="195">
        <f t="shared" si="16"/>
        <v>0</v>
      </c>
      <c r="S123" s="195">
        <f t="shared" si="15"/>
        <v>117550</v>
      </c>
    </row>
    <row r="124" spans="1:19" s="200" customFormat="1">
      <c r="A124" s="193" t="s">
        <v>198</v>
      </c>
      <c r="B124" s="194">
        <f>6650+102650</f>
        <v>109300</v>
      </c>
      <c r="C124" s="194">
        <v>0</v>
      </c>
      <c r="D124" s="194">
        <v>6000</v>
      </c>
      <c r="E124" s="194">
        <v>0</v>
      </c>
      <c r="F124" s="194">
        <v>0</v>
      </c>
      <c r="G124" s="194">
        <v>0</v>
      </c>
      <c r="H124" s="194">
        <v>0</v>
      </c>
      <c r="I124" s="194">
        <v>8900</v>
      </c>
      <c r="J124" s="194">
        <f>0</f>
        <v>0</v>
      </c>
      <c r="K124" s="194">
        <v>0</v>
      </c>
      <c r="L124" s="194">
        <v>0</v>
      </c>
      <c r="M124" s="194">
        <f>0</f>
        <v>0</v>
      </c>
      <c r="N124" s="194">
        <f>0</f>
        <v>0</v>
      </c>
      <c r="O124" s="194">
        <f>0</f>
        <v>0</v>
      </c>
      <c r="P124" s="194">
        <v>0</v>
      </c>
      <c r="Q124" s="194">
        <v>0</v>
      </c>
      <c r="R124" s="194">
        <f>0</f>
        <v>0</v>
      </c>
      <c r="S124" s="195">
        <f t="shared" si="15"/>
        <v>124200</v>
      </c>
    </row>
    <row r="125" spans="1:19" ht="21" customHeight="1">
      <c r="A125" s="197">
        <v>542000</v>
      </c>
      <c r="B125" s="198"/>
      <c r="C125" s="198"/>
      <c r="D125" s="195"/>
      <c r="E125" s="195"/>
      <c r="F125" s="190"/>
      <c r="G125" s="190"/>
      <c r="H125" s="195"/>
      <c r="I125" s="195"/>
      <c r="J125" s="194"/>
      <c r="K125" s="195"/>
      <c r="L125" s="190"/>
      <c r="M125" s="195"/>
      <c r="N125" s="195"/>
      <c r="O125" s="195"/>
      <c r="P125" s="190"/>
      <c r="Q125" s="195"/>
      <c r="R125" s="194"/>
      <c r="S125" s="190"/>
    </row>
    <row r="126" spans="1:19">
      <c r="A126" s="199">
        <v>420900</v>
      </c>
      <c r="B126" s="192">
        <v>0</v>
      </c>
      <c r="C126" s="192">
        <v>0</v>
      </c>
      <c r="D126" s="192">
        <v>0</v>
      </c>
      <c r="E126" s="192">
        <v>0</v>
      </c>
      <c r="F126" s="192">
        <v>0</v>
      </c>
      <c r="G126" s="192">
        <v>0</v>
      </c>
      <c r="H126" s="192">
        <v>0</v>
      </c>
      <c r="I126" s="192">
        <v>0</v>
      </c>
      <c r="J126" s="192">
        <v>479000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0">
        <f>SUM(B126:R126)</f>
        <v>479000</v>
      </c>
    </row>
    <row r="127" spans="1:19">
      <c r="A127" s="199">
        <v>421000</v>
      </c>
      <c r="B127" s="192">
        <v>0</v>
      </c>
      <c r="C127" s="192">
        <v>0</v>
      </c>
      <c r="D127" s="192">
        <v>0</v>
      </c>
      <c r="E127" s="192">
        <v>0</v>
      </c>
      <c r="F127" s="192">
        <v>0</v>
      </c>
      <c r="G127" s="192">
        <v>0</v>
      </c>
      <c r="H127" s="192">
        <v>0</v>
      </c>
      <c r="I127" s="192">
        <v>0</v>
      </c>
      <c r="J127" s="192">
        <v>173000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0">
        <f>SUM(B127:R127)</f>
        <v>173000</v>
      </c>
    </row>
    <row r="128" spans="1:19" s="171" customFormat="1" ht="21">
      <c r="A128" s="193" t="s">
        <v>197</v>
      </c>
      <c r="B128" s="195">
        <f t="shared" ref="B128:R128" si="17">SUM(B126:B127)</f>
        <v>0</v>
      </c>
      <c r="C128" s="195">
        <f t="shared" si="17"/>
        <v>0</v>
      </c>
      <c r="D128" s="195">
        <f t="shared" si="17"/>
        <v>0</v>
      </c>
      <c r="E128" s="195">
        <f t="shared" si="17"/>
        <v>0</v>
      </c>
      <c r="F128" s="195">
        <f t="shared" si="17"/>
        <v>0</v>
      </c>
      <c r="G128" s="195">
        <f t="shared" si="17"/>
        <v>0</v>
      </c>
      <c r="H128" s="195">
        <f t="shared" si="17"/>
        <v>0</v>
      </c>
      <c r="I128" s="195">
        <f t="shared" si="17"/>
        <v>0</v>
      </c>
      <c r="J128" s="195">
        <f t="shared" si="17"/>
        <v>652000</v>
      </c>
      <c r="K128" s="195">
        <f t="shared" si="17"/>
        <v>0</v>
      </c>
      <c r="L128" s="195">
        <f t="shared" si="17"/>
        <v>0</v>
      </c>
      <c r="M128" s="195">
        <f t="shared" si="17"/>
        <v>0</v>
      </c>
      <c r="N128" s="195">
        <f t="shared" si="17"/>
        <v>0</v>
      </c>
      <c r="O128" s="195">
        <f t="shared" si="17"/>
        <v>0</v>
      </c>
      <c r="P128" s="195">
        <f t="shared" si="17"/>
        <v>0</v>
      </c>
      <c r="Q128" s="195">
        <f t="shared" si="17"/>
        <v>0</v>
      </c>
      <c r="R128" s="195">
        <f t="shared" si="17"/>
        <v>0</v>
      </c>
      <c r="S128" s="195">
        <f>SUM(B128:R128)</f>
        <v>652000</v>
      </c>
    </row>
    <row r="129" spans="1:21" s="196" customFormat="1" ht="21">
      <c r="A129" s="193" t="s">
        <v>198</v>
      </c>
      <c r="B129" s="194">
        <v>0</v>
      </c>
      <c r="C129" s="194">
        <v>0</v>
      </c>
      <c r="D129" s="194">
        <f>0</f>
        <v>0</v>
      </c>
      <c r="E129" s="194">
        <f>0</f>
        <v>0</v>
      </c>
      <c r="F129" s="194">
        <f>0</f>
        <v>0</v>
      </c>
      <c r="G129" s="194">
        <f>0</f>
        <v>0</v>
      </c>
      <c r="H129" s="194">
        <f>0</f>
        <v>0</v>
      </c>
      <c r="I129" s="194">
        <v>0</v>
      </c>
      <c r="J129" s="194">
        <v>652000</v>
      </c>
      <c r="K129" s="194">
        <f>0</f>
        <v>0</v>
      </c>
      <c r="L129" s="194">
        <f>0</f>
        <v>0</v>
      </c>
      <c r="M129" s="194">
        <f>0</f>
        <v>0</v>
      </c>
      <c r="N129" s="194">
        <f>0</f>
        <v>0</v>
      </c>
      <c r="O129" s="194">
        <f>0</f>
        <v>0</v>
      </c>
      <c r="P129" s="194">
        <v>0</v>
      </c>
      <c r="Q129" s="194">
        <v>46000</v>
      </c>
      <c r="R129" s="194">
        <f>0</f>
        <v>0</v>
      </c>
      <c r="S129" s="195">
        <f>SUM(B129:R129)</f>
        <v>698000</v>
      </c>
    </row>
    <row r="130" spans="1:21" ht="21" customHeight="1">
      <c r="A130" s="197">
        <v>551000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0"/>
    </row>
    <row r="131" spans="1:21" ht="21" customHeight="1">
      <c r="A131" s="199">
        <v>510100</v>
      </c>
      <c r="B131" s="192">
        <v>0</v>
      </c>
      <c r="C131" s="192">
        <v>0</v>
      </c>
      <c r="D131" s="192">
        <v>0</v>
      </c>
      <c r="E131" s="192">
        <v>0</v>
      </c>
      <c r="F131" s="192">
        <v>0</v>
      </c>
      <c r="G131" s="192">
        <v>0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0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0">
        <f>SUM(B131:R131)</f>
        <v>0</v>
      </c>
    </row>
    <row r="132" spans="1:21">
      <c r="A132" s="193" t="s">
        <v>197</v>
      </c>
      <c r="B132" s="194">
        <f t="shared" ref="B132:R132" si="18">SUM(B131)</f>
        <v>0</v>
      </c>
      <c r="C132" s="194">
        <f t="shared" si="18"/>
        <v>0</v>
      </c>
      <c r="D132" s="194">
        <f t="shared" si="18"/>
        <v>0</v>
      </c>
      <c r="E132" s="194">
        <f t="shared" si="18"/>
        <v>0</v>
      </c>
      <c r="F132" s="194">
        <f t="shared" ref="F132" si="19">SUM(F131)</f>
        <v>0</v>
      </c>
      <c r="G132" s="194">
        <f t="shared" si="18"/>
        <v>0</v>
      </c>
      <c r="H132" s="194">
        <f t="shared" si="18"/>
        <v>0</v>
      </c>
      <c r="I132" s="194">
        <f t="shared" si="18"/>
        <v>0</v>
      </c>
      <c r="J132" s="194">
        <f t="shared" si="18"/>
        <v>0</v>
      </c>
      <c r="K132" s="194">
        <f t="shared" si="18"/>
        <v>0</v>
      </c>
      <c r="L132" s="194">
        <f t="shared" si="18"/>
        <v>0</v>
      </c>
      <c r="M132" s="194">
        <f t="shared" si="18"/>
        <v>0</v>
      </c>
      <c r="N132" s="194">
        <f t="shared" si="18"/>
        <v>0</v>
      </c>
      <c r="O132" s="194">
        <f t="shared" si="18"/>
        <v>0</v>
      </c>
      <c r="P132" s="194">
        <f t="shared" si="18"/>
        <v>0</v>
      </c>
      <c r="Q132" s="194">
        <f t="shared" si="18"/>
        <v>0</v>
      </c>
      <c r="R132" s="194">
        <f t="shared" si="18"/>
        <v>0</v>
      </c>
      <c r="S132" s="190">
        <f>SUM(B132:R132)</f>
        <v>0</v>
      </c>
    </row>
    <row r="133" spans="1:21" s="200" customFormat="1">
      <c r="A133" s="193" t="s">
        <v>198</v>
      </c>
      <c r="B133" s="194">
        <v>0</v>
      </c>
      <c r="C133" s="194">
        <v>0</v>
      </c>
      <c r="D133" s="194">
        <f>0</f>
        <v>0</v>
      </c>
      <c r="E133" s="194">
        <v>0</v>
      </c>
      <c r="F133" s="194">
        <v>0</v>
      </c>
      <c r="G133" s="194">
        <v>0</v>
      </c>
      <c r="H133" s="194">
        <v>0</v>
      </c>
      <c r="I133" s="194">
        <f>0</f>
        <v>0</v>
      </c>
      <c r="J133" s="194">
        <f>0</f>
        <v>0</v>
      </c>
      <c r="K133" s="194">
        <v>0</v>
      </c>
      <c r="L133" s="194">
        <v>0</v>
      </c>
      <c r="M133" s="194">
        <f>0</f>
        <v>0</v>
      </c>
      <c r="N133" s="194">
        <f>0</f>
        <v>0</v>
      </c>
      <c r="O133" s="194">
        <v>0</v>
      </c>
      <c r="P133" s="194">
        <v>0</v>
      </c>
      <c r="Q133" s="194">
        <v>0</v>
      </c>
      <c r="R133" s="194">
        <f>0</f>
        <v>0</v>
      </c>
      <c r="S133" s="190">
        <f>SUM(B133:R133)</f>
        <v>0</v>
      </c>
    </row>
    <row r="134" spans="1:21" ht="21" customHeight="1">
      <c r="A134" s="197">
        <v>561000</v>
      </c>
      <c r="B134" s="198"/>
      <c r="C134" s="198"/>
      <c r="D134" s="195"/>
      <c r="E134" s="195"/>
      <c r="F134" s="190"/>
      <c r="G134" s="190"/>
      <c r="H134" s="195"/>
      <c r="I134" s="195"/>
      <c r="J134" s="194"/>
      <c r="K134" s="195"/>
      <c r="L134" s="190"/>
      <c r="M134" s="195"/>
      <c r="N134" s="195"/>
      <c r="O134" s="195"/>
      <c r="P134" s="190"/>
      <c r="Q134" s="195"/>
      <c r="R134" s="194"/>
      <c r="S134" s="190"/>
    </row>
    <row r="135" spans="1:21" ht="21" customHeight="1">
      <c r="A135" s="199">
        <v>610100</v>
      </c>
      <c r="B135" s="192">
        <v>0</v>
      </c>
      <c r="C135" s="192">
        <v>0</v>
      </c>
      <c r="D135" s="192">
        <v>0</v>
      </c>
      <c r="E135" s="192">
        <v>0</v>
      </c>
      <c r="F135" s="192">
        <v>0</v>
      </c>
      <c r="G135" s="192">
        <v>0</v>
      </c>
      <c r="H135" s="192">
        <v>0</v>
      </c>
      <c r="I135" s="192">
        <v>0</v>
      </c>
      <c r="J135" s="192">
        <v>0</v>
      </c>
      <c r="K135" s="192">
        <v>0</v>
      </c>
      <c r="L135" s="219">
        <v>0</v>
      </c>
      <c r="M135" s="192">
        <v>0</v>
      </c>
      <c r="N135" s="192">
        <v>0</v>
      </c>
      <c r="O135" s="192">
        <v>0</v>
      </c>
      <c r="P135" s="219">
        <v>0</v>
      </c>
      <c r="Q135" s="192">
        <v>0</v>
      </c>
      <c r="R135" s="192">
        <f>10000-10000</f>
        <v>0</v>
      </c>
      <c r="S135" s="190">
        <f>SUM(B135:R135)</f>
        <v>0</v>
      </c>
    </row>
    <row r="136" spans="1:21" ht="21" customHeight="1">
      <c r="A136" s="199">
        <v>610200</v>
      </c>
      <c r="B136" s="192">
        <v>0</v>
      </c>
      <c r="C136" s="192">
        <v>0</v>
      </c>
      <c r="D136" s="192">
        <v>0</v>
      </c>
      <c r="E136" s="192">
        <v>0</v>
      </c>
      <c r="F136" s="192">
        <v>0</v>
      </c>
      <c r="G136" s="192">
        <v>0</v>
      </c>
      <c r="H136" s="192">
        <v>0</v>
      </c>
      <c r="I136" s="192">
        <v>0</v>
      </c>
      <c r="J136" s="192">
        <v>0</v>
      </c>
      <c r="K136" s="192">
        <v>0</v>
      </c>
      <c r="L136" s="219">
        <v>0</v>
      </c>
      <c r="M136" s="192">
        <v>0</v>
      </c>
      <c r="N136" s="192">
        <v>20000</v>
      </c>
      <c r="O136" s="192">
        <v>12000</v>
      </c>
      <c r="P136" s="219">
        <v>0</v>
      </c>
      <c r="Q136" s="192">
        <v>0</v>
      </c>
      <c r="R136" s="192">
        <f>10000-10000</f>
        <v>0</v>
      </c>
      <c r="S136" s="190">
        <f>SUM(B136:R136)</f>
        <v>32000</v>
      </c>
    </row>
    <row r="137" spans="1:21" ht="21" customHeight="1">
      <c r="A137" s="199">
        <v>610400</v>
      </c>
      <c r="B137" s="192">
        <v>0</v>
      </c>
      <c r="C137" s="192">
        <v>0</v>
      </c>
      <c r="D137" s="192">
        <v>0</v>
      </c>
      <c r="E137" s="192">
        <v>0</v>
      </c>
      <c r="F137" s="192">
        <v>0</v>
      </c>
      <c r="G137" s="192">
        <v>0</v>
      </c>
      <c r="H137" s="192">
        <v>60000</v>
      </c>
      <c r="I137" s="192">
        <v>0</v>
      </c>
      <c r="J137" s="192">
        <v>0</v>
      </c>
      <c r="K137" s="192">
        <v>0</v>
      </c>
      <c r="L137" s="219">
        <v>0</v>
      </c>
      <c r="M137" s="192">
        <v>0</v>
      </c>
      <c r="N137" s="192">
        <v>0</v>
      </c>
      <c r="O137" s="192">
        <v>0</v>
      </c>
      <c r="P137" s="219">
        <v>0</v>
      </c>
      <c r="Q137" s="192">
        <v>0</v>
      </c>
      <c r="R137" s="192">
        <f>10000-10000</f>
        <v>0</v>
      </c>
      <c r="S137" s="190">
        <f>SUM(B137:R137)</f>
        <v>60000</v>
      </c>
    </row>
    <row r="138" spans="1:21">
      <c r="A138" s="193" t="s">
        <v>197</v>
      </c>
      <c r="B138" s="194">
        <f>SUM(B135:B137)</f>
        <v>0</v>
      </c>
      <c r="C138" s="194">
        <f t="shared" ref="C138:R138" si="20">SUM(C135:C137)</f>
        <v>0</v>
      </c>
      <c r="D138" s="194">
        <f t="shared" si="20"/>
        <v>0</v>
      </c>
      <c r="E138" s="194">
        <f t="shared" si="20"/>
        <v>0</v>
      </c>
      <c r="F138" s="194">
        <f t="shared" si="20"/>
        <v>0</v>
      </c>
      <c r="G138" s="194">
        <f t="shared" si="20"/>
        <v>0</v>
      </c>
      <c r="H138" s="194">
        <f t="shared" si="20"/>
        <v>60000</v>
      </c>
      <c r="I138" s="194">
        <f t="shared" si="20"/>
        <v>0</v>
      </c>
      <c r="J138" s="194">
        <f t="shared" si="20"/>
        <v>0</v>
      </c>
      <c r="K138" s="194">
        <f t="shared" si="20"/>
        <v>0</v>
      </c>
      <c r="L138" s="194">
        <f t="shared" si="20"/>
        <v>0</v>
      </c>
      <c r="M138" s="194">
        <f t="shared" si="20"/>
        <v>0</v>
      </c>
      <c r="N138" s="194">
        <f t="shared" si="20"/>
        <v>20000</v>
      </c>
      <c r="O138" s="194">
        <f t="shared" si="20"/>
        <v>12000</v>
      </c>
      <c r="P138" s="194">
        <f t="shared" si="20"/>
        <v>0</v>
      </c>
      <c r="Q138" s="194">
        <f t="shared" si="20"/>
        <v>0</v>
      </c>
      <c r="R138" s="194">
        <f t="shared" si="20"/>
        <v>0</v>
      </c>
      <c r="S138" s="194">
        <f>SUM(S135:S137)</f>
        <v>92000</v>
      </c>
    </row>
    <row r="139" spans="1:21" s="200" customFormat="1">
      <c r="A139" s="193" t="s">
        <v>198</v>
      </c>
      <c r="B139" s="194">
        <v>20000</v>
      </c>
      <c r="C139" s="194">
        <v>0</v>
      </c>
      <c r="D139" s="194">
        <f>0</f>
        <v>0</v>
      </c>
      <c r="E139" s="194">
        <v>0</v>
      </c>
      <c r="F139" s="194">
        <v>0</v>
      </c>
      <c r="G139" s="194">
        <f>272000+275000</f>
        <v>547000</v>
      </c>
      <c r="H139" s="194">
        <v>60000</v>
      </c>
      <c r="I139" s="194">
        <f>0</f>
        <v>0</v>
      </c>
      <c r="J139" s="194">
        <v>105758.87</v>
      </c>
      <c r="K139" s="194">
        <v>0</v>
      </c>
      <c r="L139" s="194">
        <v>0</v>
      </c>
      <c r="M139" s="194">
        <f>0</f>
        <v>0</v>
      </c>
      <c r="N139" s="194">
        <f>20000</f>
        <v>20000</v>
      </c>
      <c r="O139" s="194">
        <f>3000+5000+12000</f>
        <v>20000</v>
      </c>
      <c r="P139" s="194">
        <v>0</v>
      </c>
      <c r="Q139" s="194">
        <v>0</v>
      </c>
      <c r="R139" s="194">
        <f>0</f>
        <v>0</v>
      </c>
      <c r="S139" s="195">
        <f>SUM(B139:R139)</f>
        <v>772758.87</v>
      </c>
    </row>
    <row r="140" spans="1:21">
      <c r="A140" s="193" t="s">
        <v>206</v>
      </c>
      <c r="B140" s="195">
        <f t="shared" ref="B140:R141" si="21">B15+B23+B31+B49+B57+B93+B100+B123+B128+B132+B138</f>
        <v>660063.97</v>
      </c>
      <c r="C140" s="195">
        <f t="shared" si="21"/>
        <v>0</v>
      </c>
      <c r="D140" s="195">
        <f t="shared" si="21"/>
        <v>148716.04999999999</v>
      </c>
      <c r="E140" s="195">
        <f t="shared" si="21"/>
        <v>0</v>
      </c>
      <c r="F140" s="195">
        <f t="shared" si="21"/>
        <v>8185</v>
      </c>
      <c r="G140" s="195">
        <f t="shared" si="21"/>
        <v>57641.599999999999</v>
      </c>
      <c r="H140" s="195">
        <f t="shared" si="21"/>
        <v>60000</v>
      </c>
      <c r="I140" s="195">
        <f t="shared" si="21"/>
        <v>141230</v>
      </c>
      <c r="J140" s="195">
        <f t="shared" si="21"/>
        <v>652000</v>
      </c>
      <c r="K140" s="195">
        <f t="shared" si="21"/>
        <v>0</v>
      </c>
      <c r="L140" s="195">
        <f t="shared" si="21"/>
        <v>0</v>
      </c>
      <c r="M140" s="195">
        <f t="shared" si="21"/>
        <v>0</v>
      </c>
      <c r="N140" s="195">
        <f t="shared" si="21"/>
        <v>20000</v>
      </c>
      <c r="O140" s="195">
        <f t="shared" si="21"/>
        <v>12000</v>
      </c>
      <c r="P140" s="195">
        <f t="shared" si="21"/>
        <v>0</v>
      </c>
      <c r="Q140" s="195">
        <f t="shared" si="21"/>
        <v>35890.880000000005</v>
      </c>
      <c r="R140" s="195">
        <f t="shared" si="21"/>
        <v>11683</v>
      </c>
      <c r="S140" s="195">
        <f>SUM(B140:R140)</f>
        <v>1807410.5</v>
      </c>
    </row>
    <row r="141" spans="1:21" s="200" customFormat="1">
      <c r="A141" s="193" t="s">
        <v>207</v>
      </c>
      <c r="B141" s="195">
        <f t="shared" si="21"/>
        <v>3314594.06</v>
      </c>
      <c r="C141" s="195">
        <f t="shared" si="21"/>
        <v>0</v>
      </c>
      <c r="D141" s="195">
        <f t="shared" si="21"/>
        <v>722006.05</v>
      </c>
      <c r="E141" s="195">
        <f t="shared" si="21"/>
        <v>2000</v>
      </c>
      <c r="F141" s="195">
        <f t="shared" si="21"/>
        <v>40925</v>
      </c>
      <c r="G141" s="195">
        <f t="shared" si="21"/>
        <v>969076.91999999993</v>
      </c>
      <c r="H141" s="195">
        <f t="shared" si="21"/>
        <v>60000</v>
      </c>
      <c r="I141" s="195">
        <f t="shared" si="21"/>
        <v>719894</v>
      </c>
      <c r="J141" s="195">
        <f t="shared" si="21"/>
        <v>757758.87</v>
      </c>
      <c r="K141" s="195">
        <f t="shared" si="21"/>
        <v>0</v>
      </c>
      <c r="L141" s="195">
        <f t="shared" si="21"/>
        <v>0</v>
      </c>
      <c r="M141" s="195">
        <f t="shared" si="21"/>
        <v>0</v>
      </c>
      <c r="N141" s="195">
        <f t="shared" si="21"/>
        <v>20000</v>
      </c>
      <c r="O141" s="195">
        <f t="shared" si="21"/>
        <v>20000</v>
      </c>
      <c r="P141" s="195">
        <f t="shared" si="21"/>
        <v>0</v>
      </c>
      <c r="Q141" s="195">
        <f t="shared" si="21"/>
        <v>282369.41000000003</v>
      </c>
      <c r="R141" s="195">
        <f t="shared" si="21"/>
        <v>481364.29</v>
      </c>
      <c r="S141" s="195">
        <f>SUM(B141:R141)</f>
        <v>7389988.6000000006</v>
      </c>
      <c r="U141" s="140"/>
    </row>
    <row r="142" spans="1:21" s="200" customFormat="1" ht="21" customHeight="1">
      <c r="A142" s="211"/>
      <c r="B142" s="216"/>
      <c r="C142" s="202"/>
      <c r="D142" s="383" t="s">
        <v>199</v>
      </c>
      <c r="E142" s="383"/>
      <c r="F142" s="383"/>
      <c r="G142" s="383"/>
      <c r="H142" s="383"/>
      <c r="I142" s="383" t="s">
        <v>200</v>
      </c>
      <c r="J142" s="383"/>
      <c r="K142" s="383"/>
      <c r="L142" s="383"/>
      <c r="M142" s="383"/>
      <c r="N142" s="383"/>
      <c r="O142" s="216"/>
      <c r="P142" s="216"/>
      <c r="Q142" s="216"/>
      <c r="R142" s="216"/>
      <c r="S142" s="217"/>
    </row>
    <row r="143" spans="1:21" s="200" customFormat="1" ht="21" customHeight="1">
      <c r="A143" s="211"/>
      <c r="B143" s="202"/>
      <c r="C143" s="202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02"/>
      <c r="P143" s="202"/>
      <c r="Q143" s="202"/>
      <c r="R143" s="202"/>
      <c r="S143" s="203"/>
    </row>
    <row r="144" spans="1:21" s="200" customFormat="1" ht="21" customHeight="1">
      <c r="A144" s="211"/>
      <c r="B144" s="213"/>
      <c r="C144" s="213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13"/>
      <c r="O144" s="213"/>
      <c r="P144" s="213"/>
      <c r="Q144" s="213"/>
      <c r="R144" s="213"/>
      <c r="S144" s="218"/>
    </row>
    <row r="145" spans="1:19" s="200" customFormat="1" ht="21" customHeight="1">
      <c r="A145" s="211"/>
      <c r="B145" s="213"/>
      <c r="C145" s="213"/>
      <c r="D145" s="383" t="s">
        <v>201</v>
      </c>
      <c r="E145" s="383"/>
      <c r="F145" s="383"/>
      <c r="G145" s="383"/>
      <c r="H145" s="383"/>
      <c r="I145" s="383" t="s">
        <v>61</v>
      </c>
      <c r="J145" s="383"/>
      <c r="K145" s="383"/>
      <c r="L145" s="383"/>
      <c r="M145" s="383"/>
      <c r="N145" s="383"/>
      <c r="O145" s="213"/>
      <c r="P145" s="213"/>
      <c r="Q145" s="213"/>
      <c r="R145" s="213"/>
      <c r="S145" s="218"/>
    </row>
    <row r="146" spans="1:19" s="200" customFormat="1" ht="21" customHeight="1">
      <c r="A146" s="211"/>
      <c r="B146" s="213"/>
      <c r="C146" s="213"/>
      <c r="D146" s="383" t="s">
        <v>202</v>
      </c>
      <c r="E146" s="383"/>
      <c r="F146" s="383"/>
      <c r="G146" s="383"/>
      <c r="H146" s="383"/>
      <c r="I146" s="383" t="s">
        <v>84</v>
      </c>
      <c r="J146" s="383"/>
      <c r="K146" s="383"/>
      <c r="L146" s="383"/>
      <c r="M146" s="383"/>
      <c r="N146" s="383"/>
      <c r="O146" s="213"/>
      <c r="P146" s="213"/>
      <c r="Q146" s="213"/>
      <c r="R146" s="213"/>
      <c r="S146" s="218"/>
    </row>
  </sheetData>
  <mergeCells count="50">
    <mergeCell ref="A1:S1"/>
    <mergeCell ref="A2:S2"/>
    <mergeCell ref="A3:S3"/>
    <mergeCell ref="B4:D4"/>
    <mergeCell ref="F4:G4"/>
    <mergeCell ref="I4:J4"/>
    <mergeCell ref="K4:L4"/>
    <mergeCell ref="M4:O4"/>
    <mergeCell ref="A38:S38"/>
    <mergeCell ref="B39:D39"/>
    <mergeCell ref="F39:G39"/>
    <mergeCell ref="I39:J39"/>
    <mergeCell ref="K39:L39"/>
    <mergeCell ref="M39:O39"/>
    <mergeCell ref="D60:H60"/>
    <mergeCell ref="I60:N60"/>
    <mergeCell ref="D62:H62"/>
    <mergeCell ref="I62:N62"/>
    <mergeCell ref="D63:H63"/>
    <mergeCell ref="I63:N63"/>
    <mergeCell ref="B76:D76"/>
    <mergeCell ref="F76:G76"/>
    <mergeCell ref="I76:J76"/>
    <mergeCell ref="K76:L76"/>
    <mergeCell ref="M76:O76"/>
    <mergeCell ref="D64:E64"/>
    <mergeCell ref="I64:L64"/>
    <mergeCell ref="D65:E65"/>
    <mergeCell ref="I65:L65"/>
    <mergeCell ref="A75:S75"/>
    <mergeCell ref="D102:H102"/>
    <mergeCell ref="I102:N102"/>
    <mergeCell ref="D109:H109"/>
    <mergeCell ref="I109:N109"/>
    <mergeCell ref="D111:H111"/>
    <mergeCell ref="I111:N111"/>
    <mergeCell ref="D112:E112"/>
    <mergeCell ref="I112:L112"/>
    <mergeCell ref="A113:S113"/>
    <mergeCell ref="B114:D114"/>
    <mergeCell ref="F114:G114"/>
    <mergeCell ref="I114:J114"/>
    <mergeCell ref="K114:L114"/>
    <mergeCell ref="M114:O114"/>
    <mergeCell ref="D142:H142"/>
    <mergeCell ref="I142:N142"/>
    <mergeCell ref="D145:H145"/>
    <mergeCell ref="I145:N145"/>
    <mergeCell ref="D146:H146"/>
    <mergeCell ref="I146:N146"/>
  </mergeCells>
  <pageMargins left="0" right="0" top="0.11811023622047245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topLeftCell="A10" zoomScaleSheetLayoutView="100" workbookViewId="0">
      <selection activeCell="R16" sqref="R16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7.125" style="265" customWidth="1"/>
    <col min="6" max="6" width="9" style="265" bestFit="1" customWidth="1"/>
    <col min="7" max="7" width="9.875" style="265" bestFit="1" customWidth="1"/>
    <col min="8" max="8" width="11.25" style="265" bestFit="1" customWidth="1"/>
    <col min="9" max="9" width="9.875" style="265" bestFit="1" customWidth="1"/>
    <col min="10" max="10" width="9" style="265" bestFit="1" customWidth="1"/>
    <col min="11" max="12" width="11.25" style="265" bestFit="1" customWidth="1"/>
    <col min="13" max="14" width="9" style="265" bestFit="1" customWidth="1"/>
    <col min="15" max="16" width="9.875" style="265" bestFit="1" customWidth="1"/>
    <col min="17" max="17" width="9" style="265" bestFit="1" customWidth="1"/>
    <col min="18" max="20" width="5.25" style="265" bestFit="1" customWidth="1"/>
    <col min="21" max="21" width="11.25" style="265" bestFit="1" customWidth="1"/>
    <col min="22" max="22" width="11.7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s="264" customFormat="1" ht="26.25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</row>
    <row r="2" spans="1:22" ht="26.25">
      <c r="A2" s="394" t="s">
        <v>290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22" ht="27" thickBot="1">
      <c r="A3" s="395" t="s">
        <v>308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</row>
    <row r="4" spans="1:22" s="271" customFormat="1" ht="21" customHeight="1">
      <c r="A4" s="266" t="s">
        <v>162</v>
      </c>
      <c r="B4" s="396" t="s">
        <v>163</v>
      </c>
      <c r="C4" s="397"/>
      <c r="D4" s="398"/>
      <c r="E4" s="396" t="s">
        <v>164</v>
      </c>
      <c r="F4" s="398"/>
      <c r="G4" s="396" t="s">
        <v>165</v>
      </c>
      <c r="H4" s="398"/>
      <c r="I4" s="267" t="s">
        <v>166</v>
      </c>
      <c r="J4" s="268" t="s">
        <v>291</v>
      </c>
      <c r="K4" s="396" t="s">
        <v>167</v>
      </c>
      <c r="L4" s="398"/>
      <c r="M4" s="399" t="s">
        <v>168</v>
      </c>
      <c r="N4" s="400"/>
      <c r="O4" s="396" t="s">
        <v>169</v>
      </c>
      <c r="P4" s="397"/>
      <c r="Q4" s="398"/>
      <c r="R4" s="399" t="s">
        <v>170</v>
      </c>
      <c r="S4" s="400"/>
      <c r="T4" s="269" t="s">
        <v>171</v>
      </c>
      <c r="U4" s="267" t="s">
        <v>172</v>
      </c>
      <c r="V4" s="270" t="s">
        <v>144</v>
      </c>
    </row>
    <row r="5" spans="1:22" s="271" customFormat="1" ht="21" customHeight="1" thickBot="1">
      <c r="A5" s="272" t="s">
        <v>173</v>
      </c>
      <c r="B5" s="273" t="s">
        <v>174</v>
      </c>
      <c r="C5" s="274" t="s">
        <v>175</v>
      </c>
      <c r="D5" s="274" t="s">
        <v>176</v>
      </c>
      <c r="E5" s="275" t="s">
        <v>177</v>
      </c>
      <c r="F5" s="275" t="s">
        <v>292</v>
      </c>
      <c r="G5" s="273" t="s">
        <v>209</v>
      </c>
      <c r="H5" s="273" t="s">
        <v>178</v>
      </c>
      <c r="I5" s="273" t="s">
        <v>179</v>
      </c>
      <c r="J5" s="276" t="s">
        <v>293</v>
      </c>
      <c r="K5" s="275" t="s">
        <v>180</v>
      </c>
      <c r="L5" s="275" t="s">
        <v>181</v>
      </c>
      <c r="M5" s="277" t="s">
        <v>182</v>
      </c>
      <c r="N5" s="277" t="s">
        <v>210</v>
      </c>
      <c r="O5" s="278" t="s">
        <v>183</v>
      </c>
      <c r="P5" s="274" t="s">
        <v>184</v>
      </c>
      <c r="Q5" s="279" t="s">
        <v>185</v>
      </c>
      <c r="R5" s="277" t="s">
        <v>186</v>
      </c>
      <c r="S5" s="277" t="s">
        <v>294</v>
      </c>
      <c r="T5" s="277" t="s">
        <v>187</v>
      </c>
      <c r="U5" s="275" t="s">
        <v>188</v>
      </c>
      <c r="V5" s="280"/>
    </row>
    <row r="6" spans="1:22" ht="21" customHeight="1">
      <c r="A6" s="281" t="s">
        <v>35</v>
      </c>
      <c r="B6" s="282"/>
      <c r="C6" s="283"/>
      <c r="D6" s="283"/>
      <c r="E6" s="282"/>
      <c r="F6" s="282"/>
      <c r="G6" s="283"/>
      <c r="H6" s="283"/>
      <c r="I6" s="283"/>
      <c r="J6" s="284"/>
      <c r="K6" s="282"/>
      <c r="L6" s="282"/>
      <c r="M6" s="285"/>
      <c r="N6" s="285"/>
      <c r="O6" s="286"/>
      <c r="P6" s="282"/>
      <c r="Q6" s="284"/>
      <c r="R6" s="285"/>
      <c r="S6" s="285"/>
      <c r="T6" s="285"/>
      <c r="U6" s="282"/>
      <c r="V6" s="285"/>
    </row>
    <row r="7" spans="1:22" ht="21" customHeight="1">
      <c r="A7" s="287" t="s">
        <v>190</v>
      </c>
      <c r="B7" s="288">
        <v>0</v>
      </c>
      <c r="C7" s="288">
        <v>0</v>
      </c>
      <c r="D7" s="288">
        <v>0</v>
      </c>
      <c r="E7" s="288">
        <v>0</v>
      </c>
      <c r="F7" s="288">
        <v>0</v>
      </c>
      <c r="G7" s="288">
        <v>0</v>
      </c>
      <c r="H7" s="288">
        <v>0</v>
      </c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8">
        <v>0</v>
      </c>
      <c r="Q7" s="288">
        <v>0</v>
      </c>
      <c r="R7" s="288">
        <v>0</v>
      </c>
      <c r="S7" s="288">
        <v>0</v>
      </c>
      <c r="T7" s="288">
        <v>0</v>
      </c>
      <c r="U7" s="288">
        <f>115520-9353-8183-8183-8183</f>
        <v>81618</v>
      </c>
      <c r="V7" s="288">
        <f t="shared" ref="V7:V12" si="0">SUM(B7:U7)</f>
        <v>81618</v>
      </c>
    </row>
    <row r="8" spans="1:22" ht="21" customHeight="1">
      <c r="A8" s="287" t="s">
        <v>193</v>
      </c>
      <c r="B8" s="288">
        <v>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288">
        <v>0</v>
      </c>
      <c r="U8" s="288">
        <f>42000-7000-3500-3500-3500</f>
        <v>24500</v>
      </c>
      <c r="V8" s="288">
        <f t="shared" si="0"/>
        <v>24500</v>
      </c>
    </row>
    <row r="9" spans="1:22" ht="21" customHeight="1">
      <c r="A9" s="287" t="s">
        <v>194</v>
      </c>
      <c r="B9" s="288">
        <v>0</v>
      </c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f>616580+1034000-1039000</f>
        <v>611580</v>
      </c>
      <c r="V9" s="288">
        <f t="shared" si="0"/>
        <v>611580</v>
      </c>
    </row>
    <row r="10" spans="1:22" ht="21" customHeight="1">
      <c r="A10" s="287" t="s">
        <v>195</v>
      </c>
      <c r="B10" s="288">
        <v>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f>144200-132962.29</f>
        <v>11237.709999999992</v>
      </c>
      <c r="V10" s="288">
        <f t="shared" si="0"/>
        <v>11237.709999999992</v>
      </c>
    </row>
    <row r="11" spans="1:22" ht="21" customHeight="1">
      <c r="A11" s="287" t="s">
        <v>196</v>
      </c>
      <c r="B11" s="288">
        <v>0</v>
      </c>
      <c r="C11" s="288">
        <v>0</v>
      </c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f>297000-297000</f>
        <v>0</v>
      </c>
      <c r="V11" s="288">
        <f t="shared" si="0"/>
        <v>0</v>
      </c>
    </row>
    <row r="12" spans="1:22" s="291" customFormat="1" ht="21" customHeight="1">
      <c r="A12" s="289" t="s">
        <v>197</v>
      </c>
      <c r="B12" s="290">
        <f t="shared" ref="B12:U12" si="1">SUM(B7:B11)</f>
        <v>0</v>
      </c>
      <c r="C12" s="290">
        <f t="shared" si="1"/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90">
        <f t="shared" si="1"/>
        <v>0</v>
      </c>
      <c r="M12" s="290">
        <f t="shared" si="1"/>
        <v>0</v>
      </c>
      <c r="N12" s="290">
        <f t="shared" si="1"/>
        <v>0</v>
      </c>
      <c r="O12" s="290">
        <f t="shared" si="1"/>
        <v>0</v>
      </c>
      <c r="P12" s="290">
        <f t="shared" si="1"/>
        <v>0</v>
      </c>
      <c r="Q12" s="290">
        <f t="shared" si="1"/>
        <v>0</v>
      </c>
      <c r="R12" s="290">
        <f t="shared" si="1"/>
        <v>0</v>
      </c>
      <c r="S12" s="290">
        <f t="shared" si="1"/>
        <v>0</v>
      </c>
      <c r="T12" s="290">
        <f t="shared" si="1"/>
        <v>0</v>
      </c>
      <c r="U12" s="290">
        <f t="shared" si="1"/>
        <v>728935.71</v>
      </c>
      <c r="V12" s="288">
        <f t="shared" si="0"/>
        <v>728935.71</v>
      </c>
    </row>
    <row r="13" spans="1:22" ht="21" customHeight="1">
      <c r="A13" s="292">
        <v>521000</v>
      </c>
      <c r="B13" s="293"/>
      <c r="C13" s="294"/>
      <c r="D13" s="294"/>
      <c r="E13" s="293"/>
      <c r="F13" s="293"/>
      <c r="G13" s="294"/>
      <c r="H13" s="294"/>
      <c r="I13" s="294"/>
      <c r="J13" s="293"/>
      <c r="K13" s="293"/>
      <c r="L13" s="293"/>
      <c r="M13" s="288"/>
      <c r="N13" s="288"/>
      <c r="O13" s="293"/>
      <c r="P13" s="293"/>
      <c r="Q13" s="293"/>
      <c r="R13" s="288"/>
      <c r="S13" s="288"/>
      <c r="T13" s="288"/>
      <c r="U13" s="290"/>
      <c r="V13" s="288"/>
    </row>
    <row r="14" spans="1:22" ht="21" customHeight="1">
      <c r="A14" s="295">
        <v>210100</v>
      </c>
      <c r="B14" s="296">
        <f>695520-57960-57960-57960-57960-57960</f>
        <v>405720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 t="shared" ref="V14:V19" si="2">SUM(B14:U14)</f>
        <v>405720</v>
      </c>
    </row>
    <row r="15" spans="1:22" ht="21" customHeight="1">
      <c r="A15" s="295">
        <v>210200</v>
      </c>
      <c r="B15" s="296">
        <f>120000-10000-10000-10000-10000-10000</f>
        <v>70000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88">
        <f t="shared" si="2"/>
        <v>70000</v>
      </c>
    </row>
    <row r="16" spans="1:22" ht="21" customHeight="1">
      <c r="A16" s="295">
        <v>210300</v>
      </c>
      <c r="B16" s="296">
        <f>120000-10000-10000-10000-10000-10000</f>
        <v>70000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88">
        <f t="shared" si="2"/>
        <v>70000</v>
      </c>
    </row>
    <row r="17" spans="1:22" ht="21" customHeight="1">
      <c r="A17" s="295">
        <v>210400</v>
      </c>
      <c r="B17" s="296">
        <f>198720-16560-16560-16560-16560-16560</f>
        <v>115920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88">
        <f t="shared" si="2"/>
        <v>115920</v>
      </c>
    </row>
    <row r="18" spans="1:22" ht="21" customHeight="1">
      <c r="A18" s="295">
        <v>210600</v>
      </c>
      <c r="B18" s="296">
        <f>1490400-124200-124200-124200-124200-124200</f>
        <v>869400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88">
        <f t="shared" si="2"/>
        <v>869400</v>
      </c>
    </row>
    <row r="19" spans="1:22" ht="21" customHeight="1">
      <c r="A19" s="289" t="s">
        <v>197</v>
      </c>
      <c r="B19" s="290">
        <f t="shared" ref="B19:U19" si="3">SUM(B14:B18)</f>
        <v>1531040</v>
      </c>
      <c r="C19" s="290">
        <f t="shared" si="3"/>
        <v>0</v>
      </c>
      <c r="D19" s="290">
        <f t="shared" si="3"/>
        <v>0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0">
        <f t="shared" si="3"/>
        <v>0</v>
      </c>
      <c r="J19" s="290">
        <f t="shared" si="3"/>
        <v>0</v>
      </c>
      <c r="K19" s="290">
        <f t="shared" si="3"/>
        <v>0</v>
      </c>
      <c r="L19" s="290">
        <f t="shared" si="3"/>
        <v>0</v>
      </c>
      <c r="M19" s="290">
        <f t="shared" si="3"/>
        <v>0</v>
      </c>
      <c r="N19" s="290">
        <f t="shared" si="3"/>
        <v>0</v>
      </c>
      <c r="O19" s="290">
        <f t="shared" si="3"/>
        <v>0</v>
      </c>
      <c r="P19" s="290">
        <f t="shared" si="3"/>
        <v>0</v>
      </c>
      <c r="Q19" s="290">
        <f t="shared" si="3"/>
        <v>0</v>
      </c>
      <c r="R19" s="290">
        <f t="shared" si="3"/>
        <v>0</v>
      </c>
      <c r="S19" s="290">
        <f t="shared" si="3"/>
        <v>0</v>
      </c>
      <c r="T19" s="290">
        <f t="shared" si="3"/>
        <v>0</v>
      </c>
      <c r="U19" s="290">
        <f t="shared" si="3"/>
        <v>0</v>
      </c>
      <c r="V19" s="288">
        <f t="shared" si="2"/>
        <v>1531040</v>
      </c>
    </row>
    <row r="20" spans="1:22" ht="21" customHeight="1">
      <c r="A20" s="292">
        <v>522000</v>
      </c>
      <c r="B20" s="293"/>
      <c r="C20" s="294"/>
      <c r="D20" s="294"/>
      <c r="E20" s="293"/>
      <c r="F20" s="293"/>
      <c r="G20" s="294"/>
      <c r="H20" s="294"/>
      <c r="I20" s="294"/>
      <c r="J20" s="293"/>
      <c r="K20" s="293"/>
      <c r="L20" s="293"/>
      <c r="M20" s="288"/>
      <c r="N20" s="288"/>
      <c r="O20" s="293"/>
      <c r="P20" s="293"/>
      <c r="Q20" s="293"/>
      <c r="R20" s="288"/>
      <c r="S20" s="288"/>
      <c r="T20" s="288"/>
      <c r="U20" s="290"/>
      <c r="V20" s="288"/>
    </row>
    <row r="21" spans="1:22" ht="21" customHeight="1">
      <c r="A21" s="295">
        <v>220100</v>
      </c>
      <c r="B21" s="296">
        <f>2195700-157080-157080-157080-235897.74-162750</f>
        <v>1325812.26</v>
      </c>
      <c r="C21" s="296">
        <v>0</v>
      </c>
      <c r="D21" s="296">
        <f>1030200-82600-82600-82600-127480-85850</f>
        <v>569070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f>716640-57100-57100-57100-88440-59360</f>
        <v>397540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88">
        <f t="shared" ref="V21:V26" si="4">SUM(B21:U21)</f>
        <v>2292422.2599999998</v>
      </c>
    </row>
    <row r="22" spans="1:22" ht="21" customHeight="1">
      <c r="A22" s="295">
        <v>220200</v>
      </c>
      <c r="B22" s="296"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88">
        <f t="shared" si="4"/>
        <v>0</v>
      </c>
    </row>
    <row r="23" spans="1:22" ht="21" customHeight="1">
      <c r="A23" s="295">
        <v>220300</v>
      </c>
      <c r="B23" s="296">
        <f>126000-10500-10500-10500-10500-10500</f>
        <v>73500</v>
      </c>
      <c r="C23" s="296">
        <v>0</v>
      </c>
      <c r="D23" s="296">
        <f>42000-3500-3500-3500-3500-3500</f>
        <v>24500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f>42000-3500-3500-3500-3500-3500</f>
        <v>24500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  <c r="S23" s="296">
        <v>0</v>
      </c>
      <c r="T23" s="296">
        <v>0</v>
      </c>
      <c r="U23" s="296">
        <v>0</v>
      </c>
      <c r="V23" s="288">
        <f t="shared" si="4"/>
        <v>122500</v>
      </c>
    </row>
    <row r="24" spans="1:22" ht="21" customHeight="1">
      <c r="A24" s="295">
        <v>220700</v>
      </c>
      <c r="B24" s="296">
        <f>988360-85910-65110-65110-65110-65110</f>
        <v>642010</v>
      </c>
      <c r="C24" s="296">
        <v>0</v>
      </c>
      <c r="D24" s="296">
        <f>378480-42600-31100-31100-31100-31100</f>
        <v>211480</v>
      </c>
      <c r="E24" s="296">
        <v>0</v>
      </c>
      <c r="F24" s="296">
        <v>0</v>
      </c>
      <c r="G24" s="296">
        <f>145440-16370-8185-8185-8185</f>
        <v>104515</v>
      </c>
      <c r="H24" s="296">
        <v>0</v>
      </c>
      <c r="I24" s="296">
        <v>0</v>
      </c>
      <c r="J24" s="296">
        <v>0</v>
      </c>
      <c r="K24" s="296">
        <f>776400-65930-55430-55430-55430-55430</f>
        <v>488750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v>0</v>
      </c>
      <c r="U24" s="296">
        <v>0</v>
      </c>
      <c r="V24" s="288">
        <f t="shared" si="4"/>
        <v>1446755</v>
      </c>
    </row>
    <row r="25" spans="1:22" ht="21" customHeight="1">
      <c r="A25" s="295">
        <v>220800</v>
      </c>
      <c r="B25" s="296">
        <f>84000-5000-5000-5000-5000-5000</f>
        <v>59000</v>
      </c>
      <c r="C25" s="296">
        <v>0</v>
      </c>
      <c r="D25" s="296">
        <v>0</v>
      </c>
      <c r="E25" s="296">
        <v>0</v>
      </c>
      <c r="F25" s="296">
        <v>0</v>
      </c>
      <c r="G25" s="296">
        <v>2000</v>
      </c>
      <c r="H25" s="296">
        <v>0</v>
      </c>
      <c r="I25" s="296">
        <v>0</v>
      </c>
      <c r="J25" s="296">
        <v>0</v>
      </c>
      <c r="K25" s="296">
        <f>82980-6000-6000-6000-6000-6000</f>
        <v>52980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 t="shared" si="4"/>
        <v>113980</v>
      </c>
    </row>
    <row r="26" spans="1:22" ht="21" customHeight="1">
      <c r="A26" s="289" t="s">
        <v>197</v>
      </c>
      <c r="B26" s="290">
        <f t="shared" ref="B26:U26" si="5">SUM(B21:B25)</f>
        <v>2100322.2599999998</v>
      </c>
      <c r="C26" s="290">
        <f t="shared" si="5"/>
        <v>0</v>
      </c>
      <c r="D26" s="290">
        <f t="shared" si="5"/>
        <v>805050</v>
      </c>
      <c r="E26" s="290">
        <f t="shared" si="5"/>
        <v>0</v>
      </c>
      <c r="F26" s="290">
        <f t="shared" si="5"/>
        <v>0</v>
      </c>
      <c r="G26" s="290">
        <f t="shared" si="5"/>
        <v>106515</v>
      </c>
      <c r="H26" s="290">
        <f t="shared" si="5"/>
        <v>0</v>
      </c>
      <c r="I26" s="290">
        <f t="shared" si="5"/>
        <v>0</v>
      </c>
      <c r="J26" s="290">
        <f t="shared" si="5"/>
        <v>0</v>
      </c>
      <c r="K26" s="290">
        <f t="shared" si="5"/>
        <v>963770</v>
      </c>
      <c r="L26" s="290">
        <f t="shared" si="5"/>
        <v>0</v>
      </c>
      <c r="M26" s="290">
        <f t="shared" si="5"/>
        <v>0</v>
      </c>
      <c r="N26" s="290">
        <f t="shared" si="5"/>
        <v>0</v>
      </c>
      <c r="O26" s="290">
        <f t="shared" si="5"/>
        <v>0</v>
      </c>
      <c r="P26" s="290">
        <f t="shared" si="5"/>
        <v>0</v>
      </c>
      <c r="Q26" s="290">
        <f t="shared" si="5"/>
        <v>0</v>
      </c>
      <c r="R26" s="290">
        <f t="shared" si="5"/>
        <v>0</v>
      </c>
      <c r="S26" s="290">
        <f t="shared" si="5"/>
        <v>0</v>
      </c>
      <c r="T26" s="290">
        <f t="shared" si="5"/>
        <v>0</v>
      </c>
      <c r="U26" s="290">
        <f t="shared" si="5"/>
        <v>0</v>
      </c>
      <c r="V26" s="288">
        <f t="shared" si="4"/>
        <v>3975657.26</v>
      </c>
    </row>
    <row r="27" spans="1:22" ht="21" customHeight="1">
      <c r="A27" s="297">
        <v>531000</v>
      </c>
      <c r="B27" s="298"/>
      <c r="C27" s="299"/>
      <c r="D27" s="299"/>
      <c r="E27" s="282"/>
      <c r="F27" s="282"/>
      <c r="G27" s="283"/>
      <c r="H27" s="283"/>
      <c r="I27" s="283"/>
      <c r="J27" s="282"/>
      <c r="K27" s="282"/>
      <c r="L27" s="298"/>
      <c r="M27" s="288"/>
      <c r="N27" s="288"/>
      <c r="O27" s="286"/>
      <c r="P27" s="282"/>
      <c r="Q27" s="282"/>
      <c r="R27" s="288"/>
      <c r="S27" s="288"/>
      <c r="T27" s="288"/>
      <c r="U27" s="298"/>
      <c r="V27" s="288"/>
    </row>
    <row r="28" spans="1:22" ht="21" customHeight="1">
      <c r="A28" s="295">
        <v>310100</v>
      </c>
      <c r="B28" s="296">
        <v>20000</v>
      </c>
      <c r="C28" s="296">
        <v>0</v>
      </c>
      <c r="D28" s="296">
        <v>2000</v>
      </c>
      <c r="E28" s="296">
        <v>0</v>
      </c>
      <c r="F28" s="296">
        <v>5000</v>
      </c>
      <c r="G28" s="296">
        <v>0</v>
      </c>
      <c r="H28" s="296">
        <v>0</v>
      </c>
      <c r="I28" s="296">
        <v>0</v>
      </c>
      <c r="J28" s="296">
        <v>0</v>
      </c>
      <c r="K28" s="296">
        <v>2000</v>
      </c>
      <c r="L28" s="296">
        <v>0</v>
      </c>
      <c r="M28" s="296">
        <v>0</v>
      </c>
      <c r="N28" s="296">
        <v>0</v>
      </c>
      <c r="O28" s="296">
        <v>0</v>
      </c>
      <c r="P28" s="296">
        <v>0</v>
      </c>
      <c r="Q28" s="296">
        <v>0</v>
      </c>
      <c r="R28" s="296">
        <v>0</v>
      </c>
      <c r="S28" s="296">
        <v>0</v>
      </c>
      <c r="T28" s="296">
        <v>0</v>
      </c>
      <c r="U28" s="296">
        <v>0</v>
      </c>
      <c r="V28" s="288">
        <f t="shared" ref="V28:V32" si="6">SUM(B28:U28)</f>
        <v>29000</v>
      </c>
    </row>
    <row r="29" spans="1:22" ht="21" customHeight="1">
      <c r="A29" s="295">
        <v>310300</v>
      </c>
      <c r="B29" s="296">
        <v>20000</v>
      </c>
      <c r="C29" s="296">
        <v>0</v>
      </c>
      <c r="D29" s="296">
        <v>5000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6">
        <f>40000-5040-3360-5880-5040</f>
        <v>20680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0</v>
      </c>
      <c r="S29" s="296">
        <v>0</v>
      </c>
      <c r="T29" s="296">
        <v>0</v>
      </c>
      <c r="U29" s="296">
        <v>0</v>
      </c>
      <c r="V29" s="288">
        <f t="shared" si="6"/>
        <v>45680</v>
      </c>
    </row>
    <row r="30" spans="1:22" ht="21" customHeight="1">
      <c r="A30" s="295">
        <v>310400</v>
      </c>
      <c r="B30" s="296">
        <f>80000-10000-3000-10000-6500</f>
        <v>50500</v>
      </c>
      <c r="C30" s="296">
        <v>0</v>
      </c>
      <c r="D30" s="296">
        <f>108000-15200-7600-8400-8400</f>
        <v>68400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f>36000-6000-3000-3000-3000</f>
        <v>21000</v>
      </c>
      <c r="L30" s="296">
        <v>0</v>
      </c>
      <c r="M30" s="296">
        <v>0</v>
      </c>
      <c r="N30" s="296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  <c r="V30" s="288">
        <f t="shared" si="6"/>
        <v>139900</v>
      </c>
    </row>
    <row r="31" spans="1:22" ht="21" customHeight="1">
      <c r="A31" s="295">
        <v>310500</v>
      </c>
      <c r="B31" s="296">
        <f>40000-4454</f>
        <v>35546</v>
      </c>
      <c r="C31" s="296">
        <v>0</v>
      </c>
      <c r="D31" s="296">
        <v>5000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f>10000-1870</f>
        <v>8130</v>
      </c>
      <c r="L31" s="296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  <c r="V31" s="288">
        <f t="shared" si="6"/>
        <v>48676</v>
      </c>
    </row>
    <row r="32" spans="1:22" ht="21" customHeight="1">
      <c r="A32" s="289" t="s">
        <v>197</v>
      </c>
      <c r="B32" s="290">
        <f t="shared" ref="B32:U32" si="7">SUM(B28:B31)</f>
        <v>126046</v>
      </c>
      <c r="C32" s="290">
        <f t="shared" si="7"/>
        <v>0</v>
      </c>
      <c r="D32" s="290">
        <f t="shared" si="7"/>
        <v>80400</v>
      </c>
      <c r="E32" s="290">
        <f t="shared" si="7"/>
        <v>0</v>
      </c>
      <c r="F32" s="290">
        <f t="shared" si="7"/>
        <v>5000</v>
      </c>
      <c r="G32" s="290">
        <f t="shared" si="7"/>
        <v>0</v>
      </c>
      <c r="H32" s="290">
        <f t="shared" si="7"/>
        <v>0</v>
      </c>
      <c r="I32" s="290">
        <f t="shared" si="7"/>
        <v>0</v>
      </c>
      <c r="J32" s="290">
        <f t="shared" si="7"/>
        <v>0</v>
      </c>
      <c r="K32" s="290">
        <f t="shared" si="7"/>
        <v>51810</v>
      </c>
      <c r="L32" s="290">
        <f t="shared" si="7"/>
        <v>0</v>
      </c>
      <c r="M32" s="290">
        <f t="shared" si="7"/>
        <v>0</v>
      </c>
      <c r="N32" s="290">
        <f t="shared" si="7"/>
        <v>0</v>
      </c>
      <c r="O32" s="290">
        <f t="shared" si="7"/>
        <v>0</v>
      </c>
      <c r="P32" s="290">
        <f t="shared" si="7"/>
        <v>0</v>
      </c>
      <c r="Q32" s="290">
        <f t="shared" si="7"/>
        <v>0</v>
      </c>
      <c r="R32" s="290">
        <f t="shared" si="7"/>
        <v>0</v>
      </c>
      <c r="S32" s="290">
        <f t="shared" si="7"/>
        <v>0</v>
      </c>
      <c r="T32" s="290">
        <f t="shared" si="7"/>
        <v>0</v>
      </c>
      <c r="U32" s="290">
        <f t="shared" si="7"/>
        <v>0</v>
      </c>
      <c r="V32" s="288">
        <f t="shared" si="6"/>
        <v>263256</v>
      </c>
    </row>
    <row r="33" spans="1:22" ht="21" customHeigh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topLeftCell="L1" zoomScaleSheetLayoutView="100" workbookViewId="0">
      <selection activeCell="R16" sqref="R16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9.875" style="265" bestFit="1" customWidth="1"/>
    <col min="6" max="6" width="9" style="265" bestFit="1" customWidth="1"/>
    <col min="7" max="7" width="9.875" style="265" bestFit="1" customWidth="1"/>
    <col min="8" max="8" width="11.25" style="265" bestFit="1" customWidth="1"/>
    <col min="9" max="9" width="9.875" style="265" bestFit="1" customWidth="1"/>
    <col min="10" max="10" width="9" style="265" bestFit="1" customWidth="1"/>
    <col min="11" max="12" width="11.25" style="265" bestFit="1" customWidth="1"/>
    <col min="13" max="14" width="9" style="265" bestFit="1" customWidth="1"/>
    <col min="15" max="16" width="9.875" style="265" bestFit="1" customWidth="1"/>
    <col min="17" max="17" width="5.25" style="265" bestFit="1" customWidth="1"/>
    <col min="18" max="18" width="9.875" style="265" bestFit="1" customWidth="1"/>
    <col min="19" max="19" width="5.25" style="265" bestFit="1" customWidth="1"/>
    <col min="20" max="20" width="9.875" style="265" bestFit="1" customWidth="1"/>
    <col min="21" max="21" width="5.25" style="265" bestFit="1" customWidth="1"/>
    <col min="22" max="22" width="11.7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ht="22.5" thickBot="1">
      <c r="A1" s="401" t="s">
        <v>203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2" s="271" customFormat="1" ht="21" customHeight="1">
      <c r="A2" s="266" t="s">
        <v>162</v>
      </c>
      <c r="B2" s="396" t="s">
        <v>163</v>
      </c>
      <c r="C2" s="397"/>
      <c r="D2" s="398"/>
      <c r="E2" s="396" t="s">
        <v>164</v>
      </c>
      <c r="F2" s="398"/>
      <c r="G2" s="396" t="s">
        <v>165</v>
      </c>
      <c r="H2" s="398"/>
      <c r="I2" s="267" t="s">
        <v>166</v>
      </c>
      <c r="J2" s="268" t="s">
        <v>291</v>
      </c>
      <c r="K2" s="396" t="s">
        <v>167</v>
      </c>
      <c r="L2" s="398"/>
      <c r="M2" s="399" t="s">
        <v>168</v>
      </c>
      <c r="N2" s="400"/>
      <c r="O2" s="396" t="s">
        <v>169</v>
      </c>
      <c r="P2" s="397"/>
      <c r="Q2" s="398"/>
      <c r="R2" s="399" t="s">
        <v>170</v>
      </c>
      <c r="S2" s="400"/>
      <c r="T2" s="269" t="s">
        <v>171</v>
      </c>
      <c r="U2" s="267" t="s">
        <v>172</v>
      </c>
      <c r="V2" s="270" t="s">
        <v>144</v>
      </c>
    </row>
    <row r="3" spans="1:22" s="271" customFormat="1" ht="21" customHeight="1" thickBot="1">
      <c r="A3" s="272" t="s">
        <v>173</v>
      </c>
      <c r="B3" s="273" t="s">
        <v>174</v>
      </c>
      <c r="C3" s="274" t="s">
        <v>175</v>
      </c>
      <c r="D3" s="274" t="s">
        <v>176</v>
      </c>
      <c r="E3" s="275" t="s">
        <v>177</v>
      </c>
      <c r="F3" s="275" t="s">
        <v>292</v>
      </c>
      <c r="G3" s="273" t="s">
        <v>209</v>
      </c>
      <c r="H3" s="273" t="s">
        <v>178</v>
      </c>
      <c r="I3" s="273" t="s">
        <v>179</v>
      </c>
      <c r="J3" s="276" t="s">
        <v>293</v>
      </c>
      <c r="K3" s="275" t="s">
        <v>180</v>
      </c>
      <c r="L3" s="275" t="s">
        <v>181</v>
      </c>
      <c r="M3" s="277" t="s">
        <v>182</v>
      </c>
      <c r="N3" s="277" t="s">
        <v>210</v>
      </c>
      <c r="O3" s="278" t="s">
        <v>183</v>
      </c>
      <c r="P3" s="274" t="s">
        <v>184</v>
      </c>
      <c r="Q3" s="279" t="s">
        <v>185</v>
      </c>
      <c r="R3" s="277" t="s">
        <v>186</v>
      </c>
      <c r="S3" s="277" t="s">
        <v>294</v>
      </c>
      <c r="T3" s="277" t="s">
        <v>187</v>
      </c>
      <c r="U3" s="275" t="s">
        <v>188</v>
      </c>
      <c r="V3" s="280"/>
    </row>
    <row r="4" spans="1:22" ht="21" customHeight="1">
      <c r="A4" s="292">
        <v>532000</v>
      </c>
      <c r="B4" s="290"/>
      <c r="C4" s="303"/>
      <c r="D4" s="303"/>
      <c r="E4" s="293"/>
      <c r="F4" s="293"/>
      <c r="G4" s="294"/>
      <c r="H4" s="294"/>
      <c r="I4" s="294"/>
      <c r="J4" s="290"/>
      <c r="K4" s="293"/>
      <c r="L4" s="290"/>
      <c r="M4" s="288"/>
      <c r="N4" s="288"/>
      <c r="O4" s="293"/>
      <c r="P4" s="293"/>
      <c r="Q4" s="293"/>
      <c r="R4" s="288"/>
      <c r="S4" s="288"/>
      <c r="T4" s="288"/>
      <c r="U4" s="290"/>
      <c r="V4" s="288"/>
    </row>
    <row r="5" spans="1:22" ht="21" customHeight="1">
      <c r="A5" s="295">
        <v>320100</v>
      </c>
      <c r="B5" s="296">
        <f>355000-3900-33812-34592-32000-32500</f>
        <v>218196</v>
      </c>
      <c r="C5" s="296">
        <v>0</v>
      </c>
      <c r="D5" s="296">
        <v>5000</v>
      </c>
      <c r="E5" s="296">
        <v>0</v>
      </c>
      <c r="F5" s="296">
        <v>0</v>
      </c>
      <c r="G5" s="296">
        <v>0</v>
      </c>
      <c r="H5" s="296">
        <v>0</v>
      </c>
      <c r="I5" s="296">
        <v>5000</v>
      </c>
      <c r="J5" s="296">
        <v>0</v>
      </c>
      <c r="K5" s="296">
        <f>5000-510</f>
        <v>4490</v>
      </c>
      <c r="L5" s="296">
        <v>210000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10000</v>
      </c>
      <c r="S5" s="296">
        <v>0</v>
      </c>
      <c r="T5" s="296">
        <f>100000-3612-7000-7000-7000</f>
        <v>75388</v>
      </c>
      <c r="U5" s="296">
        <v>0</v>
      </c>
      <c r="V5" s="288">
        <f>SUM(B5:U5)</f>
        <v>528074</v>
      </c>
    </row>
    <row r="6" spans="1:22" ht="21" customHeight="1">
      <c r="A6" s="295">
        <v>320200</v>
      </c>
      <c r="B6" s="296">
        <v>30000</v>
      </c>
      <c r="C6" s="296">
        <v>0</v>
      </c>
      <c r="D6" s="296">
        <v>0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296">
        <v>0</v>
      </c>
      <c r="S6" s="296">
        <v>0</v>
      </c>
      <c r="T6" s="296">
        <v>0</v>
      </c>
      <c r="U6" s="296">
        <v>0</v>
      </c>
      <c r="V6" s="288">
        <f>SUM(B6:U6)</f>
        <v>30000</v>
      </c>
    </row>
    <row r="7" spans="1:22" ht="21" customHeight="1">
      <c r="A7" s="295">
        <v>320300</v>
      </c>
      <c r="B7" s="296">
        <f>250000+50000+5000+10000+10000+10000+300000-5800-16510-35000-15000-293322-10700-61116-20488-10000</f>
        <v>167064</v>
      </c>
      <c r="C7" s="296">
        <v>15000</v>
      </c>
      <c r="D7" s="296">
        <f>30000+20000+15000-40380--37800</f>
        <v>62420</v>
      </c>
      <c r="E7" s="296">
        <f>100000+20000-2000</f>
        <v>118000</v>
      </c>
      <c r="F7" s="296">
        <v>0</v>
      </c>
      <c r="G7" s="296">
        <v>0</v>
      </c>
      <c r="H7" s="296">
        <f>30000+3000+784000+8000+11000+50000+30000+30000-157000-147188</f>
        <v>641812</v>
      </c>
      <c r="I7" s="296">
        <v>25000</v>
      </c>
      <c r="J7" s="296">
        <v>0</v>
      </c>
      <c r="K7" s="296">
        <f>50000-12600--12600</f>
        <v>50000</v>
      </c>
      <c r="L7" s="296">
        <v>0</v>
      </c>
      <c r="M7" s="296">
        <v>10000</v>
      </c>
      <c r="N7" s="296">
        <v>30000</v>
      </c>
      <c r="O7" s="296">
        <f>15000+50000</f>
        <v>65000</v>
      </c>
      <c r="P7" s="296">
        <f>50000</f>
        <v>50000</v>
      </c>
      <c r="Q7" s="296">
        <v>0</v>
      </c>
      <c r="R7" s="296">
        <f>5000+5000+5000</f>
        <v>15000</v>
      </c>
      <c r="S7" s="296">
        <v>0</v>
      </c>
      <c r="T7" s="296">
        <v>0</v>
      </c>
      <c r="U7" s="296">
        <v>0</v>
      </c>
      <c r="V7" s="288">
        <f>SUM(B7:U7)</f>
        <v>1249296</v>
      </c>
    </row>
    <row r="8" spans="1:22" ht="21" customHeight="1">
      <c r="A8" s="295">
        <v>320400</v>
      </c>
      <c r="B8" s="296">
        <f>5000-1800+51510-23700-20060</f>
        <v>10950</v>
      </c>
      <c r="C8" s="296">
        <v>0</v>
      </c>
      <c r="D8" s="296">
        <f>2000-500-1450</f>
        <v>50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5000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20000</v>
      </c>
      <c r="U8" s="296">
        <v>0</v>
      </c>
      <c r="V8" s="288">
        <f>SUM(B8:U8)</f>
        <v>36000</v>
      </c>
    </row>
    <row r="9" spans="1:22" ht="21" customHeight="1">
      <c r="A9" s="289" t="s">
        <v>197</v>
      </c>
      <c r="B9" s="290">
        <f t="shared" ref="B9:U9" si="0">SUM(B5:B8)</f>
        <v>426210</v>
      </c>
      <c r="C9" s="290">
        <f t="shared" si="0"/>
        <v>15000</v>
      </c>
      <c r="D9" s="290">
        <f t="shared" si="0"/>
        <v>67470</v>
      </c>
      <c r="E9" s="290">
        <f t="shared" si="0"/>
        <v>118000</v>
      </c>
      <c r="F9" s="290">
        <f t="shared" si="0"/>
        <v>0</v>
      </c>
      <c r="G9" s="290">
        <f t="shared" si="0"/>
        <v>0</v>
      </c>
      <c r="H9" s="290">
        <f t="shared" si="0"/>
        <v>641812</v>
      </c>
      <c r="I9" s="290">
        <f t="shared" si="0"/>
        <v>30000</v>
      </c>
      <c r="J9" s="290">
        <f t="shared" si="0"/>
        <v>0</v>
      </c>
      <c r="K9" s="290">
        <f t="shared" si="0"/>
        <v>59490</v>
      </c>
      <c r="L9" s="290">
        <f t="shared" si="0"/>
        <v>210000</v>
      </c>
      <c r="M9" s="290">
        <f t="shared" si="0"/>
        <v>10000</v>
      </c>
      <c r="N9" s="290">
        <f t="shared" si="0"/>
        <v>30000</v>
      </c>
      <c r="O9" s="290">
        <f t="shared" si="0"/>
        <v>65000</v>
      </c>
      <c r="P9" s="290">
        <f t="shared" si="0"/>
        <v>50000</v>
      </c>
      <c r="Q9" s="290">
        <f t="shared" si="0"/>
        <v>0</v>
      </c>
      <c r="R9" s="290">
        <f t="shared" si="0"/>
        <v>25000</v>
      </c>
      <c r="S9" s="290">
        <f t="shared" si="0"/>
        <v>0</v>
      </c>
      <c r="T9" s="290">
        <f t="shared" si="0"/>
        <v>95388</v>
      </c>
      <c r="U9" s="290">
        <f t="shared" si="0"/>
        <v>0</v>
      </c>
      <c r="V9" s="288">
        <f>SUM(B9:U9)</f>
        <v>1843370</v>
      </c>
    </row>
    <row r="10" spans="1:22" ht="21" customHeight="1">
      <c r="A10" s="292">
        <v>533000</v>
      </c>
      <c r="B10" s="290"/>
      <c r="C10" s="299"/>
      <c r="D10" s="299"/>
      <c r="E10" s="282"/>
      <c r="F10" s="282"/>
      <c r="G10" s="303"/>
      <c r="H10" s="303"/>
      <c r="I10" s="283"/>
      <c r="J10" s="290"/>
      <c r="K10" s="290"/>
      <c r="L10" s="290"/>
      <c r="M10" s="288"/>
      <c r="N10" s="288"/>
      <c r="O10" s="304"/>
      <c r="P10" s="305"/>
      <c r="Q10" s="298"/>
      <c r="R10" s="288"/>
      <c r="S10" s="288"/>
      <c r="T10" s="288"/>
      <c r="U10" s="298"/>
      <c r="V10" s="288"/>
    </row>
    <row r="11" spans="1:22" ht="21" customHeight="1">
      <c r="A11" s="306">
        <v>330100</v>
      </c>
      <c r="B11" s="296">
        <f>50000-20188</f>
        <v>29812</v>
      </c>
      <c r="C11" s="296">
        <v>0</v>
      </c>
      <c r="D11" s="296">
        <f>50000-9330-4316.05</f>
        <v>36353.949999999997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20000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88">
        <f t="shared" ref="V11:V22" si="1">SUM(B11:U11)</f>
        <v>86165.95</v>
      </c>
    </row>
    <row r="12" spans="1:22" ht="21" customHeight="1">
      <c r="A12" s="306">
        <v>330200</v>
      </c>
      <c r="B12" s="296">
        <v>3000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f>22000-20044</f>
        <v>1956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88">
        <f t="shared" si="1"/>
        <v>4956</v>
      </c>
    </row>
    <row r="13" spans="1:22" ht="21" customHeight="1">
      <c r="A13" s="295">
        <v>330300</v>
      </c>
      <c r="B13" s="296">
        <f>5000-3920</f>
        <v>1080</v>
      </c>
      <c r="C13" s="296">
        <v>0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0</v>
      </c>
      <c r="T13" s="296">
        <f>200000-74900</f>
        <v>125100</v>
      </c>
      <c r="U13" s="296">
        <v>0</v>
      </c>
      <c r="V13" s="288">
        <f t="shared" si="1"/>
        <v>126180</v>
      </c>
    </row>
    <row r="14" spans="1:22" ht="21" customHeight="1">
      <c r="A14" s="295">
        <v>330400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f>815860-60247.32-57641.6</f>
        <v>697971.08000000007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 t="shared" si="1"/>
        <v>697971.08000000007</v>
      </c>
    </row>
    <row r="15" spans="1:22" ht="21" customHeight="1">
      <c r="A15" s="295">
        <v>330600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3000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125000</v>
      </c>
      <c r="U15" s="296">
        <v>0</v>
      </c>
      <c r="V15" s="288">
        <f t="shared" si="1"/>
        <v>128000</v>
      </c>
    </row>
    <row r="16" spans="1:22" ht="21" customHeight="1">
      <c r="A16" s="295">
        <v>330700</v>
      </c>
      <c r="B16" s="296">
        <v>25000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88">
        <f t="shared" si="1"/>
        <v>25000</v>
      </c>
    </row>
    <row r="17" spans="1:22" ht="21" customHeight="1">
      <c r="A17" s="295">
        <v>330800</v>
      </c>
      <c r="B17" s="296">
        <f>250000-14744-13196-17688-13970</f>
        <v>190402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88">
        <f t="shared" si="1"/>
        <v>190402</v>
      </c>
    </row>
    <row r="18" spans="1:22" ht="21" customHeight="1">
      <c r="A18" s="295">
        <v>330900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5000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88">
        <f t="shared" si="1"/>
        <v>5000</v>
      </c>
    </row>
    <row r="19" spans="1:22" ht="21" customHeight="1">
      <c r="A19" s="295">
        <v>331000</v>
      </c>
      <c r="B19" s="296">
        <v>0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20000</v>
      </c>
      <c r="S19" s="296">
        <v>0</v>
      </c>
      <c r="T19" s="296">
        <v>0</v>
      </c>
      <c r="U19" s="296">
        <v>0</v>
      </c>
      <c r="V19" s="288">
        <f t="shared" si="1"/>
        <v>20000</v>
      </c>
    </row>
    <row r="20" spans="1:22" ht="21" customHeight="1">
      <c r="A20" s="295">
        <v>331100</v>
      </c>
      <c r="B20" s="296">
        <v>3000</v>
      </c>
      <c r="C20" s="296">
        <v>0</v>
      </c>
      <c r="D20" s="296">
        <f>8000-4500</f>
        <v>3500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3000</v>
      </c>
      <c r="L20" s="296">
        <v>0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88">
        <f t="shared" si="1"/>
        <v>9500</v>
      </c>
    </row>
    <row r="21" spans="1:22" ht="21" customHeight="1">
      <c r="A21" s="295">
        <v>331400</v>
      </c>
      <c r="B21" s="296">
        <f>65000-25480</f>
        <v>39520</v>
      </c>
      <c r="C21" s="296">
        <v>0</v>
      </c>
      <c r="D21" s="296">
        <f>30000-8100</f>
        <v>21900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30000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88">
        <f t="shared" si="1"/>
        <v>91420</v>
      </c>
    </row>
    <row r="22" spans="1:22" ht="21" customHeight="1">
      <c r="A22" s="289" t="s">
        <v>197</v>
      </c>
      <c r="B22" s="290">
        <f t="shared" ref="B22:U22" si="2">SUM(B11:B21)</f>
        <v>291814</v>
      </c>
      <c r="C22" s="290">
        <f t="shared" si="2"/>
        <v>0</v>
      </c>
      <c r="D22" s="290">
        <f t="shared" si="2"/>
        <v>61753.95</v>
      </c>
      <c r="E22" s="290">
        <f t="shared" si="2"/>
        <v>0</v>
      </c>
      <c r="F22" s="290">
        <f t="shared" si="2"/>
        <v>0</v>
      </c>
      <c r="G22" s="290">
        <f t="shared" si="2"/>
        <v>0</v>
      </c>
      <c r="H22" s="290">
        <f t="shared" si="2"/>
        <v>697971.08000000007</v>
      </c>
      <c r="I22" s="290">
        <f t="shared" si="2"/>
        <v>5000</v>
      </c>
      <c r="J22" s="290">
        <f t="shared" si="2"/>
        <v>0</v>
      </c>
      <c r="K22" s="290">
        <f t="shared" si="2"/>
        <v>57956</v>
      </c>
      <c r="L22" s="290">
        <f t="shared" si="2"/>
        <v>0</v>
      </c>
      <c r="M22" s="290">
        <f t="shared" si="2"/>
        <v>0</v>
      </c>
      <c r="N22" s="290">
        <f t="shared" si="2"/>
        <v>0</v>
      </c>
      <c r="O22" s="290">
        <f t="shared" si="2"/>
        <v>0</v>
      </c>
      <c r="P22" s="290">
        <f t="shared" si="2"/>
        <v>0</v>
      </c>
      <c r="Q22" s="290">
        <f t="shared" si="2"/>
        <v>0</v>
      </c>
      <c r="R22" s="290">
        <f t="shared" si="2"/>
        <v>20000</v>
      </c>
      <c r="S22" s="290">
        <f t="shared" si="2"/>
        <v>0</v>
      </c>
      <c r="T22" s="290">
        <f t="shared" si="2"/>
        <v>250100</v>
      </c>
      <c r="U22" s="290">
        <f t="shared" si="2"/>
        <v>0</v>
      </c>
      <c r="V22" s="288">
        <f t="shared" si="1"/>
        <v>1384595.03</v>
      </c>
    </row>
    <row r="23" spans="1:22" ht="21" customHeight="1">
      <c r="A23" s="292">
        <v>534000</v>
      </c>
      <c r="B23" s="290"/>
      <c r="C23" s="303"/>
      <c r="D23" s="294"/>
      <c r="E23" s="293"/>
      <c r="F23" s="293"/>
      <c r="G23" s="294"/>
      <c r="H23" s="294"/>
      <c r="I23" s="293"/>
      <c r="J23" s="290"/>
      <c r="K23" s="293"/>
      <c r="L23" s="293"/>
      <c r="M23" s="288"/>
      <c r="N23" s="288"/>
      <c r="O23" s="293"/>
      <c r="P23" s="293"/>
      <c r="Q23" s="293"/>
      <c r="R23" s="288"/>
      <c r="S23" s="288"/>
      <c r="T23" s="288"/>
      <c r="U23" s="293"/>
      <c r="V23" s="288"/>
    </row>
    <row r="24" spans="1:22" ht="21" customHeight="1">
      <c r="A24" s="295">
        <v>340100</v>
      </c>
      <c r="B24" s="296">
        <f>150000-10260.51-11252.9-9838.24-10572.7-10978.97</f>
        <v>97096.68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f>380000-25477.83-27731.08-26263.91-28493.71-28890.88</f>
        <v>243142.58999999997</v>
      </c>
      <c r="U24" s="296">
        <v>0</v>
      </c>
      <c r="V24" s="288">
        <f>SUM(B24:U24)</f>
        <v>340239.26999999996</v>
      </c>
    </row>
    <row r="25" spans="1:22" ht="21" customHeight="1">
      <c r="A25" s="295">
        <v>340300</v>
      </c>
      <c r="B25" s="296">
        <f>4000-321-321-642</f>
        <v>2716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>SUM(B25:U25)</f>
        <v>2716</v>
      </c>
    </row>
    <row r="26" spans="1:22" ht="21" customHeight="1">
      <c r="A26" s="295">
        <v>340400</v>
      </c>
      <c r="B26" s="296">
        <f>20000-271-1257-1624-1042-1325</f>
        <v>14481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  <c r="O26" s="296">
        <v>0</v>
      </c>
      <c r="P26" s="296">
        <v>0</v>
      </c>
      <c r="Q26" s="296">
        <v>0</v>
      </c>
      <c r="R26" s="296">
        <v>0</v>
      </c>
      <c r="S26" s="296">
        <v>0</v>
      </c>
      <c r="T26" s="296">
        <v>0</v>
      </c>
      <c r="U26" s="296">
        <v>0</v>
      </c>
      <c r="V26" s="288">
        <f>SUM(B26:U26)</f>
        <v>14481</v>
      </c>
    </row>
    <row r="27" spans="1:22" ht="21" customHeight="1">
      <c r="A27" s="295">
        <v>340500</v>
      </c>
      <c r="B27" s="296">
        <f>84000-6955-6955-13910</f>
        <v>56180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  <c r="N27" s="296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88">
        <f>SUM(B27:U27)</f>
        <v>56180</v>
      </c>
    </row>
    <row r="28" spans="1:22" ht="21" customHeight="1">
      <c r="A28" s="289" t="s">
        <v>197</v>
      </c>
      <c r="B28" s="293">
        <f t="shared" ref="B28:U28" si="3">SUM(B24:B27)</f>
        <v>170473.68</v>
      </c>
      <c r="C28" s="293">
        <f t="shared" si="3"/>
        <v>0</v>
      </c>
      <c r="D28" s="293">
        <f t="shared" si="3"/>
        <v>0</v>
      </c>
      <c r="E28" s="293">
        <f t="shared" si="3"/>
        <v>0</v>
      </c>
      <c r="F28" s="293">
        <f t="shared" si="3"/>
        <v>0</v>
      </c>
      <c r="G28" s="293">
        <f t="shared" si="3"/>
        <v>0</v>
      </c>
      <c r="H28" s="293">
        <f t="shared" si="3"/>
        <v>0</v>
      </c>
      <c r="I28" s="293">
        <f t="shared" si="3"/>
        <v>0</v>
      </c>
      <c r="J28" s="293">
        <f t="shared" si="3"/>
        <v>0</v>
      </c>
      <c r="K28" s="293">
        <f t="shared" si="3"/>
        <v>0</v>
      </c>
      <c r="L28" s="293">
        <f t="shared" si="3"/>
        <v>0</v>
      </c>
      <c r="M28" s="293">
        <f t="shared" si="3"/>
        <v>0</v>
      </c>
      <c r="N28" s="293">
        <f t="shared" si="3"/>
        <v>0</v>
      </c>
      <c r="O28" s="293">
        <f t="shared" si="3"/>
        <v>0</v>
      </c>
      <c r="P28" s="293">
        <f t="shared" si="3"/>
        <v>0</v>
      </c>
      <c r="Q28" s="293">
        <f t="shared" si="3"/>
        <v>0</v>
      </c>
      <c r="R28" s="293">
        <f t="shared" si="3"/>
        <v>0</v>
      </c>
      <c r="S28" s="293">
        <f t="shared" si="3"/>
        <v>0</v>
      </c>
      <c r="T28" s="293">
        <f t="shared" si="3"/>
        <v>243142.58999999997</v>
      </c>
      <c r="U28" s="293">
        <f t="shared" si="3"/>
        <v>0</v>
      </c>
      <c r="V28" s="288">
        <f>SUM(B28:U28)</f>
        <v>413616.26999999996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2016-10-26T07:28:28Z</cp:lastPrinted>
  <dcterms:created xsi:type="dcterms:W3CDTF">2013-12-04T04:18:04Z</dcterms:created>
  <dcterms:modified xsi:type="dcterms:W3CDTF">2016-10-26T09:19:08Z</dcterms:modified>
</cp:coreProperties>
</file>