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firstSheet="5" activeTab="6"/>
  </bookViews>
  <sheets>
    <sheet name="รายงานรับ-จ่าย" sheetId="1" r:id="rId1"/>
    <sheet name="กระแสเงินสด" sheetId="2" r:id="rId2"/>
    <sheet name="งบกระทบยอดธนาคารธกส." sheetId="3" r:id="rId3"/>
    <sheet name="งบทดลอง" sheetId="4" r:id="rId4"/>
    <sheet name="หมายเหตุประกอบ" sheetId="5" r:id="rId5"/>
    <sheet name="กระดาษทำการ(เงินรายรับ)" sheetId="6" r:id="rId6"/>
    <sheet name="คงเหลือรายรับ" sheetId="7" r:id="rId7"/>
    <sheet name="กระดาษทำการรายจ่ายค้างจ่าย" sheetId="8" r:id="rId8"/>
  </sheets>
  <definedNames>
    <definedName name="_xlnm.Print_Area" localSheetId="1">'กระแสเงินสด'!$A$1:$J$25</definedName>
  </definedNames>
  <calcPr fullCalcOnLoad="1"/>
</workbook>
</file>

<file path=xl/comments6.xml><?xml version="1.0" encoding="utf-8"?>
<comments xmlns="http://schemas.openxmlformats.org/spreadsheetml/2006/main">
  <authors>
    <author>com</author>
    <author>MoZarD</author>
    <author>user</author>
    <author>iLLuSioN</author>
    <author>CasperX</author>
  </authors>
  <commentLis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M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
</t>
        </r>
      </text>
    </comment>
    <comment ref="O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N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N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
</t>
        </r>
      </text>
    </comment>
    <comment ref="L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M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
</t>
        </r>
      </text>
    </commen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rFont val="Tahoma"/>
            <family val="0"/>
          </rPr>
          <t>เบี้ยยังชีพคนชรา</t>
        </r>
      </text>
    </comment>
    <comment ref="A9" authorId="0">
      <text>
        <r>
          <rPr>
            <b/>
            <sz val="8"/>
            <rFont val="Tahoma"/>
            <family val="0"/>
          </rPr>
          <t>เบี้ยยังชีพคนพิการ</t>
        </r>
      </text>
    </comment>
    <comment ref="A10" authorId="0">
      <text>
        <r>
          <rPr>
            <b/>
            <sz val="8"/>
            <rFont val="Tahoma"/>
            <family val="0"/>
          </rPr>
          <t>สำรองจ่าย</t>
        </r>
      </text>
    </comment>
    <comment ref="A11" authorId="0">
      <text>
        <r>
          <rPr>
            <b/>
            <sz val="8"/>
            <rFont val="Tahoma"/>
            <family val="0"/>
          </rPr>
          <t>รายจ่ายตามข้อผูกพัน</t>
        </r>
      </text>
    </comment>
    <comment ref="A12" authorId="0">
      <text>
        <r>
          <rPr>
            <b/>
            <sz val="8"/>
            <rFont val="Tahoma"/>
            <family val="0"/>
          </rPr>
          <t>เงินช่วยพิเศษ(เงินสมทบเบี้ยยังชีพ)</t>
        </r>
      </text>
    </comment>
    <comment ref="A13" authorId="0">
      <text>
        <r>
          <rPr>
            <b/>
            <sz val="8"/>
            <rFont val="Tahoma"/>
            <family val="0"/>
          </rPr>
          <t>เงินสมทบ กบท.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ค่าตอบแทนประจำตำแหน่งนายก/รองนายก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ค่าตอบแทนพิเศษนายก/รองนายก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ค่าตอบแทนเลขานุการนายก อบต.
</t>
        </r>
      </text>
    </comment>
    <comment ref="A2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ค่าตอบแทนสมาชิกสภา
</t>
        </r>
      </text>
    </comment>
    <comment ref="A2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2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2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เงินเพิ่มต่าง ๆ ของพนักงาน
</t>
        </r>
      </text>
    </comment>
    <comment ref="A2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เงินประจำตำแหน่ง</t>
        </r>
      </text>
    </comment>
    <comment ref="A28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ค่าจ้างพนักงานจ้าง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41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42" authorId="2">
      <text>
        <r>
          <rPr>
            <b/>
            <sz val="8"/>
            <rFont val="Tahoma"/>
            <family val="0"/>
          </rPr>
          <t>ค่าเบี้ยประชุม</t>
        </r>
      </text>
    </comment>
    <comment ref="A43" authorId="0">
      <text>
        <r>
          <rPr>
            <b/>
            <sz val="8"/>
            <rFont val="Tahoma"/>
            <family val="0"/>
          </rPr>
          <t>ค่าตอบแทนนอกเวลาราชการ</t>
        </r>
      </text>
    </comment>
    <comment ref="A4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ค่าเช่าบ้าน</t>
        </r>
      </text>
    </comment>
    <comment ref="A4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เงินช่วยเหลือการศึกษาบุตร</t>
        </r>
      </text>
    </comment>
    <comment ref="A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เงินช่วยเหลือค่ารักษาพยาบาล</t>
        </r>
      </text>
    </comment>
    <comment ref="A47" authorId="3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ประโยชน์ตอบแทนอื่น
</t>
        </r>
      </text>
    </comment>
    <comment ref="A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รายจ่ายเกี่ยวกับการรับรองและพิธีการ</t>
        </r>
      </text>
    </comment>
    <comment ref="A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ค่าบำรุงรักษาและซ่อมแซม ทรัพย์สิน(วงเงินไม่เกิน 5,000  บาท)</t>
        </r>
      </text>
    </comment>
    <comment ref="A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ค่าวัสดุสำนักงาน</t>
        </r>
      </text>
    </comment>
    <comment ref="A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ค่าวัสดุไฟฟ้าและวิทยุ</t>
        </r>
      </text>
    </comment>
    <comment ref="A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ค่าวัสดุก่อสร้าง</t>
        </r>
      </text>
    </comment>
    <comment ref="A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วัสดุยานพาหนะและขนส่ง</t>
        </r>
      </text>
    </comment>
    <comment ref="A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ค่าวัสดุเชื้อเพลิงและหล่อลื่น</t>
        </r>
      </text>
    </comment>
    <comment ref="A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วัสดุวิทยาศาสตร์หรือการแพทย์</t>
        </r>
      </text>
    </comment>
    <comment ref="A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วัสดุการเกษตร</t>
        </r>
      </text>
    </comment>
    <comment ref="A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ค่าวัสดุโฆษณาและเผยแพร่</t>
        </r>
      </text>
    </comment>
    <comment ref="A8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วัสดุคอมพิวเตอร์</t>
        </r>
      </text>
    </comment>
    <comment ref="A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A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A9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9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ค่าไปรษณีย์ </t>
        </r>
      </text>
    </comment>
    <comment ref="A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ค่าบริการด้านโทรคมนาคม</t>
        </r>
      </text>
    </comment>
    <comment ref="B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M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
</t>
        </r>
      </text>
    </comment>
    <comment ref="N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A1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11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1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ครุภัณฑ์ยานพาหนะและขนส่ง</t>
        </r>
      </text>
    </comment>
    <comment ref="A1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ครุภัณฑ์โฆษณาและเผยแพร่</t>
        </r>
      </text>
    </comment>
    <comment ref="A1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ครุภัณฑ์วิทยาศาสตร์หรือการแพทย์</t>
        </r>
      </text>
    </comment>
    <comment ref="A121" authorId="4">
      <text>
        <r>
          <rPr>
            <b/>
            <sz val="9"/>
            <rFont val="Tahoma"/>
            <family val="0"/>
          </rPr>
          <t>CasperX:</t>
        </r>
        <r>
          <rPr>
            <sz val="9"/>
            <rFont val="Tahoma"/>
            <family val="0"/>
          </rPr>
          <t xml:space="preserve">
ครุภัณฑ์งานบ้านงานครัว</t>
        </r>
      </text>
    </comment>
    <comment ref="A1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ครุภัณฑ์อื่นๆ</t>
        </r>
      </text>
    </comment>
    <comment ref="A125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1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A1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3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1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เงินอุดหนุนองค์กรปกครองส่วนท้องถิ่น</t>
        </r>
      </text>
    </comment>
    <comment ref="A1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3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7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1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1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A127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ค่าก่อสร้างสิ่งสาธารณูปโภค</t>
        </r>
      </text>
    </comment>
  </commentList>
</comments>
</file>

<file path=xl/comments7.xml><?xml version="1.0" encoding="utf-8"?>
<comments xmlns="http://schemas.openxmlformats.org/spreadsheetml/2006/main">
  <authors>
    <author>com</author>
    <author>user</author>
    <author>iLLuSioN</author>
    <author>CasperX</author>
    <author>MoZarD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rFont val="Tahoma"/>
            <family val="0"/>
          </rPr>
          <t>เบี้ยยังชีพคนชรา</t>
        </r>
      </text>
    </comment>
    <comment ref="A9" authorId="0">
      <text>
        <r>
          <rPr>
            <b/>
            <sz val="8"/>
            <rFont val="Tahoma"/>
            <family val="0"/>
          </rPr>
          <t>เบี้ยยังชีพคนพิการ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ค่าตอบแทนประจำตำแหน่งนายก/รองนายก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ค่าตอบแทนพิเศษนายก/รองนายก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N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N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ค่าตอบแทนสมาชิกสภา
</t>
        </r>
      </text>
    </comment>
    <comment ref="A8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4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รายจ่ายเกี่ยวกับการรับรองและพิธีการ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ค่าบำรุงรักษาและซ่อมแซม ทรัพย์สิน(วงเงินไม่เกิน 5,000  บาท)</t>
        </r>
      </text>
    </comment>
    <comment ref="A5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8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8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8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ค่าไปรษณีย์ </t>
        </r>
      </text>
    </comment>
    <comment ref="A9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ค่าบริการด้านโทรคมนาคม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O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O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O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L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A10" authorId="0">
      <text>
        <r>
          <rPr>
            <b/>
            <sz val="8"/>
            <rFont val="Tahoma"/>
            <family val="0"/>
          </rPr>
          <t>สำรองจ่าย</t>
        </r>
      </text>
    </comment>
    <comment ref="A11" authorId="0">
      <text>
        <r>
          <rPr>
            <b/>
            <sz val="8"/>
            <rFont val="Tahoma"/>
            <family val="0"/>
          </rPr>
          <t>รายจ่ายตามข้อผูกพัน</t>
        </r>
      </text>
    </comment>
    <comment ref="A13" authorId="0">
      <text>
        <r>
          <rPr>
            <b/>
            <sz val="8"/>
            <rFont val="Tahoma"/>
            <family val="0"/>
          </rPr>
          <t>เงินสมทบ กบท.</t>
        </r>
      </text>
    </comment>
    <comment ref="A12" authorId="0">
      <text>
        <r>
          <rPr>
            <b/>
            <sz val="8"/>
            <rFont val="Tahoma"/>
            <family val="0"/>
          </rPr>
          <t>เงินช่วยพิเศษ(เงินสมทบเบี้ยยังชีพ)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ค่าตอบแทนเลขานุการนายก อบต.
</t>
        </r>
      </text>
    </comment>
    <comment ref="A2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2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2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เงินเพิ่มต่าง ๆ ของพนักงาน
</t>
        </r>
      </text>
    </comment>
    <comment ref="A2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เงินประจำตำแหน่ง</t>
        </r>
      </text>
    </comment>
    <comment ref="A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39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40" authorId="1">
      <text>
        <r>
          <rPr>
            <b/>
            <sz val="8"/>
            <rFont val="Tahoma"/>
            <family val="0"/>
          </rPr>
          <t>ค่าเบี้ยประชุม</t>
        </r>
      </text>
    </comment>
    <comment ref="A41" authorId="0">
      <text>
        <r>
          <rPr>
            <b/>
            <sz val="8"/>
            <rFont val="Tahoma"/>
            <family val="0"/>
          </rPr>
          <t>ค่าตอบแทนนอกเวลาราชการ</t>
        </r>
      </text>
    </comment>
    <comment ref="A4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ค่าเช่าบ้าน</t>
        </r>
      </text>
    </comment>
    <comment ref="A4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เงินช่วยเหลือการศึกษาบุตร</t>
        </r>
      </text>
    </comment>
    <comment ref="A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เงินช่วยเหลือค่ารักษาพยาบาล</t>
        </r>
      </text>
    </comment>
    <comment ref="A45" authorId="2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ประโยชน์ตอบแทนอื่น
</t>
        </r>
      </text>
    </comment>
    <comment ref="A7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7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ค่าวัสดุสำนักงาน</t>
        </r>
      </text>
    </comment>
    <comment ref="A7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ค่าวัสดุไฟฟ้าและวิทยุ</t>
        </r>
      </text>
    </comment>
    <comment ref="A7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7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ค่าวัสดุก่อสร้าง</t>
        </r>
      </text>
    </comment>
    <comment ref="A7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วัสดุยานพาหนะและขนส่ง</t>
        </r>
      </text>
    </comment>
    <comment ref="A7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ค่าวัสดุเชื้อเพลิงและหล่อลื่น</t>
        </r>
      </text>
    </comment>
    <comment ref="A7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วัสดุวิทยาศาสตร์หรือการแพทย์</t>
        </r>
      </text>
    </comment>
    <comment ref="A8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วัสดุการเกษตร</t>
        </r>
      </text>
    </comment>
    <comment ref="A8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ค่าวัสดุโฆษณาและเผยแพร่</t>
        </r>
      </text>
    </comment>
    <comment ref="A8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วัสดุคอมพิวเตอร์</t>
        </r>
      </text>
    </comment>
    <comment ref="A8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A8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B10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10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10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10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10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10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N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A10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10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10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ครุภัณฑ์ยานพาหนะและขนส่ง</t>
        </r>
      </text>
    </comment>
    <comment ref="A11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ครุภัณฑ์โฆษณาและเผยแพร่</t>
        </r>
      </text>
    </comment>
    <comment ref="A11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ครุภัณฑ์วิทยาศาสตร์หรือการแพทย์</t>
        </r>
      </text>
    </comment>
    <comment ref="A112" authorId="3">
      <text>
        <r>
          <rPr>
            <b/>
            <sz val="9"/>
            <rFont val="Tahoma"/>
            <family val="0"/>
          </rPr>
          <t>CasperX:</t>
        </r>
        <r>
          <rPr>
            <sz val="9"/>
            <rFont val="Tahoma"/>
            <family val="0"/>
          </rPr>
          <t xml:space="preserve">
ครุภัณฑ์งานบ้านงานครัว</t>
        </r>
      </text>
    </comment>
    <comment ref="A11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ครุภัณฑ์อื่นๆ</t>
        </r>
      </text>
    </comment>
    <comment ref="A115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11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A11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12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เงินอุดหนุนองค์กรปกครองส่วนท้องถิ่น</t>
        </r>
      </text>
    </comment>
    <comment ref="A12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2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10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10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10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10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7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10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A26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ค่าจ้างพนักงานจ้าง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L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7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L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10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A10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ครุภัณฑ์ไฟฟ้าและวิทยุ</t>
        </r>
      </text>
    </comment>
    <comment ref="A11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ค่าก่อสร้างสิ่งสาธารณูปโภค
</t>
        </r>
      </text>
    </comment>
  </commentList>
</comments>
</file>

<file path=xl/comments8.xml><?xml version="1.0" encoding="utf-8"?>
<comments xmlns="http://schemas.openxmlformats.org/spreadsheetml/2006/main">
  <authors>
    <author>com</author>
    <author>user</author>
    <author>MoZarD</author>
  </authors>
  <commentLis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O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3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4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5" authorId="2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5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5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เงินอุดหนุนองค์กรปกครองส่วนท้องถิ่น</t>
        </r>
      </text>
    </comment>
    <comment ref="A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ค่าก่อสร้างสิ่งสาธารณูปโภค
</t>
        </r>
      </text>
    </comment>
    <comment ref="A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</commentList>
</comments>
</file>

<file path=xl/sharedStrings.xml><?xml version="1.0" encoding="utf-8"?>
<sst xmlns="http://schemas.openxmlformats.org/spreadsheetml/2006/main" count="830" uniqueCount="257">
  <si>
    <t>องค์การบริหารส่วนตำบลเกาะทวด</t>
  </si>
  <si>
    <r>
      <t xml:space="preserve">                  </t>
    </r>
    <r>
      <rPr>
        <b/>
        <sz val="18"/>
        <rFont val="Cordia New"/>
        <family val="2"/>
      </rPr>
      <t>งบกระทบยอดเงินฝากธนาคาร</t>
    </r>
  </si>
  <si>
    <t xml:space="preserve">            บาท</t>
  </si>
  <si>
    <t xml:space="preserve">             บาท</t>
  </si>
  <si>
    <t>หัก : เช็คจ่ายที่ผู้รับยังไม่นำมาขึ้นเงินกับธนาคาร</t>
  </si>
  <si>
    <t>รายละเอียด</t>
  </si>
  <si>
    <t>ผู้จัดทำ</t>
  </si>
  <si>
    <r>
      <t xml:space="preserve">  </t>
    </r>
    <r>
      <rPr>
        <b/>
        <sz val="16"/>
        <rFont val="Cordia New"/>
        <family val="2"/>
      </rPr>
      <t>ผู้ตรวจสอบ</t>
    </r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</si>
  <si>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ธกส.  ออมทรัพย์</t>
    </r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</si>
  <si>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092-2-70597-6</t>
    </r>
  </si>
  <si>
    <r>
      <t xml:space="preserve">     </t>
    </r>
    <r>
      <rPr>
        <b/>
        <u val="single"/>
        <sz val="16"/>
        <rFont val="Cordia New"/>
        <family val="2"/>
      </rPr>
      <t xml:space="preserve">วันที่ลงบัญชี 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</t>
    </r>
    <r>
      <rPr>
        <b/>
        <u val="single"/>
        <sz val="16"/>
        <rFont val="Cordia New"/>
        <family val="2"/>
      </rPr>
      <t>วันที่ฝากธนาคาร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</t>
    </r>
    <r>
      <rPr>
        <b/>
        <u val="single"/>
        <sz val="16"/>
        <rFont val="Cordia New"/>
        <family val="2"/>
      </rPr>
      <t>จำนวนเงิน</t>
    </r>
  </si>
  <si>
    <r>
      <t xml:space="preserve">     </t>
    </r>
    <r>
      <rPr>
        <b/>
        <u val="single"/>
        <sz val="16"/>
        <rFont val="Cordia New"/>
        <family val="2"/>
      </rPr>
      <t>วันที่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           </t>
    </r>
    <r>
      <rPr>
        <b/>
        <u val="single"/>
        <sz val="16"/>
        <rFont val="Cordia New"/>
        <family val="2"/>
      </rPr>
      <t>เลขที่เช็ค</t>
    </r>
    <r>
      <rPr>
        <sz val="16"/>
        <rFont val="Cordia New"/>
        <family val="2"/>
      </rPr>
      <t xml:space="preserve">                                    </t>
    </r>
    <r>
      <rPr>
        <b/>
        <u val="single"/>
        <sz val="16"/>
        <rFont val="Cordia New"/>
        <family val="2"/>
      </rPr>
      <t>จำนวนเงิน</t>
    </r>
  </si>
  <si>
    <r>
      <t xml:space="preserve">           </t>
    </r>
    <r>
      <rPr>
        <b/>
        <sz val="16"/>
        <rFont val="Cordia New"/>
        <family val="2"/>
      </rPr>
      <t xml:space="preserve">ตำแหน่ง </t>
    </r>
    <r>
      <rPr>
        <sz val="16"/>
        <rFont val="Cordia New"/>
        <family val="2"/>
      </rPr>
      <t>หัวหน้าส่วนการคลัง</t>
    </r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</si>
  <si>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</si>
  <si>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</si>
  <si>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</si>
  <si>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รวม</t>
  </si>
  <si>
    <t>หมวด/ประเภท</t>
  </si>
  <si>
    <t>รวมเดือนนี้</t>
  </si>
  <si>
    <t>รวมแต่ต้นปี</t>
  </si>
  <si>
    <t xml:space="preserve">  - 2 -</t>
  </si>
  <si>
    <t xml:space="preserve">     องค์การบริหารส่วนตำบลเกาะทวด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</si>
  <si>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</si>
  <si>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</si>
  <si>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</si>
  <si>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</si>
  <si>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</si>
  <si>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</si>
  <si>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</si>
  <si>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</si>
  <si>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</si>
  <si>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</si>
  <si>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</si>
  <si>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</si>
  <si>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</si>
  <si>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</si>
  <si>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</si>
  <si>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</si>
  <si>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</si>
  <si>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</si>
  <si>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รายได้ค้างรับ</t>
  </si>
  <si>
    <t>ลูกหนี้เงินยืม - เงินงบประมาณ</t>
  </si>
  <si>
    <t>เงินสะสม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</si>
  <si>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</si>
  <si>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</si>
  <si>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</si>
  <si>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</si>
  <si>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</si>
  <si>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</si>
  <si>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ค่าครุภัณฑ์</t>
  </si>
  <si>
    <t>ค่าที่ดินและสิ่งก่อสร้าง</t>
  </si>
  <si>
    <t>ลูกหนี้เงินยืม - 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</si>
  <si>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</si>
  <si>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</si>
  <si>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</si>
  <si>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</si>
  <si>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</si>
  <si>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หมายเหตุ 1</t>
  </si>
  <si>
    <t>บัญชีเงินรับฝาก</t>
  </si>
  <si>
    <t xml:space="preserve"> องค์การบริหารส่วนตำบลเกาะทวด</t>
  </si>
  <si>
    <t>งบทดลอง</t>
  </si>
  <si>
    <t>รหัสบัญชี</t>
  </si>
  <si>
    <t>เดบิท</t>
  </si>
  <si>
    <t>เครดิต</t>
  </si>
  <si>
    <t>เงินฝากธนาคาร ธกส. ออมทรัพย์ 092-2-70597-6</t>
  </si>
  <si>
    <t>เงินฝากธนาคารกรุงไทยกระแสรายวัน 802-6-01897-4</t>
  </si>
  <si>
    <t>ค่าสาธารณูปโภค</t>
  </si>
  <si>
    <t>เงินทุนสำรองเงินสะสม</t>
  </si>
  <si>
    <t>รายจ่ายอื่น</t>
  </si>
  <si>
    <t>-</t>
  </si>
  <si>
    <t xml:space="preserve">      อำเภอปากพนัง      จังหวัด นครศรีธรรมราช</t>
  </si>
  <si>
    <t>-3-</t>
  </si>
  <si>
    <t>รวมทั้งสิ้นเดือนนี้</t>
  </si>
  <si>
    <t>รวมทั้งสินแต่ต้นปี</t>
  </si>
  <si>
    <t>-2-</t>
  </si>
  <si>
    <t>00121</t>
  </si>
  <si>
    <t>00123</t>
  </si>
  <si>
    <t>00241</t>
  </si>
  <si>
    <t>00242</t>
  </si>
  <si>
    <t>00410</t>
  </si>
  <si>
    <t>00411</t>
  </si>
  <si>
    <t>00110</t>
  </si>
  <si>
    <t>00111</t>
  </si>
  <si>
    <t>00113</t>
  </si>
  <si>
    <t>00120</t>
  </si>
  <si>
    <t>00240</t>
  </si>
  <si>
    <t>00260</t>
  </si>
  <si>
    <t>00262</t>
  </si>
  <si>
    <t>00263</t>
  </si>
  <si>
    <t>00211</t>
  </si>
  <si>
    <t>00210</t>
  </si>
  <si>
    <t>00220</t>
  </si>
  <si>
    <t>00221</t>
  </si>
  <si>
    <t>00232</t>
  </si>
  <si>
    <t>00230</t>
  </si>
  <si>
    <t>00250</t>
  </si>
  <si>
    <t>00252</t>
  </si>
  <si>
    <t>00321</t>
  </si>
  <si>
    <t>00320</t>
  </si>
  <si>
    <t>หัวหน้าส่วนการคลัง</t>
  </si>
  <si>
    <t>ตรวจถูกต้อง</t>
  </si>
  <si>
    <t>(นายวรรณรัตน์  มณีโชติ)</t>
  </si>
  <si>
    <t>งบประมาณคงเหลือ (จ่ายจากเงินรายรับ)</t>
  </si>
  <si>
    <t>รวมทั้งสิ้นแต่ต้นปี</t>
  </si>
  <si>
    <t>บวก : หรือ (หัก) รายการกระทบยอดอื่น ๆ</t>
  </si>
  <si>
    <t>รายจ่ายตามงบประมาณ (จ่ายจากรายจ่ายค้างจ่าย)</t>
  </si>
  <si>
    <t>เจ้าพนักงานการเงินและบัญชี</t>
  </si>
  <si>
    <t>รับฝาก (หมายเหตุ 2)</t>
  </si>
  <si>
    <t>รายจ่ายรอจ่าย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</si>
  <si>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</si>
  <si>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t>00330</t>
  </si>
  <si>
    <t>00332</t>
  </si>
  <si>
    <r>
      <t>ลงชื่อ</t>
    </r>
    <r>
      <rPr>
        <sz val="16"/>
        <rFont val="Cordia New"/>
        <family val="2"/>
      </rPr>
      <t xml:space="preserve">  นางนงนุช   รอดจบ</t>
    </r>
  </si>
  <si>
    <r>
      <t xml:space="preserve">ตำแหน่ง </t>
    </r>
    <r>
      <rPr>
        <sz val="16"/>
        <rFont val="Cordia New"/>
        <family val="2"/>
      </rPr>
      <t>เจ้าพนักงานการเงินและบัญชี</t>
    </r>
  </si>
  <si>
    <t>(นางนงนุช   รอดจบ)</t>
  </si>
  <si>
    <t>(นางนงนุช    รอดจบ)</t>
  </si>
  <si>
    <t>(นางนงนุช  รอดจบ)</t>
  </si>
  <si>
    <t>ภาษีหน้าฎีกา</t>
  </si>
  <si>
    <t>รายจ่ายค้างจ่าย</t>
  </si>
  <si>
    <t>(ลงชื่อ)..........................................</t>
  </si>
  <si>
    <t>เงินฝากธนาคาร ธกส. ออมทรัพย์ 092-2-71685-2</t>
  </si>
  <si>
    <t>หมายเหตุ 3</t>
  </si>
  <si>
    <t>(ลงชื่อ)………………………..             (ลงชื่อ)………………………..             (ลงชื่อ)……………………………</t>
  </si>
  <si>
    <t xml:space="preserve">    (นายวรรณรัตน์  มณีโชติ)                      (นายจิราวุธ  กรเพชร)                       (นายวรรณชาติ  ยอดแก้ว)</t>
  </si>
  <si>
    <t xml:space="preserve">       หัวหน้าส่วนการคลัง                     ปลัดองค์การบริหารส่วนตำบล        นายกองค์การบริหารส่วนตำบลเกาะทวด</t>
  </si>
  <si>
    <t>(ลงชื่อ)...........................................                         (ลงชื่อ)...........................................</t>
  </si>
  <si>
    <t xml:space="preserve">        (นายจิราวุธ  กรเพชร)                                           (นายวรรณชาติ   ยอดแก้ว)</t>
  </si>
  <si>
    <t xml:space="preserve">    (นายวรรณรัตน์  มณีโชติ)</t>
  </si>
  <si>
    <t xml:space="preserve">       หัวหน้าส่วนการคลัง</t>
  </si>
  <si>
    <t xml:space="preserve">  ปลัดองค์การบริหารส่วนตำบล                      นายกองค์การบริหารส่วนตำบลเกาะทวด</t>
  </si>
  <si>
    <t>บัญชีเงินรายรับ</t>
  </si>
  <si>
    <t>เงินสด</t>
  </si>
  <si>
    <t>ลูกหนี้เงินยืม-เงินนอกงบประมาณ</t>
  </si>
  <si>
    <t>หมายเหตุ 2</t>
  </si>
  <si>
    <t>00261</t>
  </si>
  <si>
    <t>ลูกหนี้เงินยืม - เงินนอกงบประมาณ</t>
  </si>
  <si>
    <t>เงินอุดหนุนค้างจ่าย</t>
  </si>
  <si>
    <t>เงินรับฝาก (หมายเหตุ 3)</t>
  </si>
  <si>
    <t>เงินอุดหนุนทั่วไป</t>
  </si>
  <si>
    <r>
      <t>ลงชื่อ</t>
    </r>
    <r>
      <rPr>
        <sz val="16"/>
        <rFont val="Cordia New"/>
        <family val="2"/>
      </rPr>
      <t xml:space="preserve">   นายวรรณรัตน์  มณีโชติ</t>
    </r>
  </si>
  <si>
    <t>30 ก.ย. 52</t>
  </si>
  <si>
    <t>1932699</t>
  </si>
  <si>
    <t>เงินรายได้</t>
  </si>
  <si>
    <t>ยอดคงเหลือตามรายงานธนาคาร ณ วันที่  31  ตุลาคม  2552</t>
  </si>
  <si>
    <t>30 ต.ค. 52</t>
  </si>
  <si>
    <t>1932708</t>
  </si>
  <si>
    <t>1932709</t>
  </si>
  <si>
    <t>1932710</t>
  </si>
  <si>
    <t>1932711</t>
  </si>
  <si>
    <t>1932712</t>
  </si>
  <si>
    <t>1932713</t>
  </si>
  <si>
    <t>ณ วันที่  31 ตุลาคม   2552</t>
  </si>
  <si>
    <t>110100</t>
  </si>
  <si>
    <t>110201</t>
  </si>
  <si>
    <t>110203</t>
  </si>
  <si>
    <t>110300</t>
  </si>
  <si>
    <t>210300</t>
  </si>
  <si>
    <t>210400</t>
  </si>
  <si>
    <t>ภาษีหัก ณ ที่จ่าย</t>
  </si>
  <si>
    <t>เงินประกันสัญญา</t>
  </si>
  <si>
    <t>ค่าใช้จ่าย ภ.บ.ท. 5%</t>
  </si>
  <si>
    <t>เงินส่วนลด 6%</t>
  </si>
  <si>
    <t>เงินทุนโครงการเศรษฐกิจชุมชน</t>
  </si>
  <si>
    <t>เงินค่าตอบแทนจากการกระทำผิด พรบ.จราจรทางบก (25%)</t>
  </si>
  <si>
    <t>ที่</t>
  </si>
  <si>
    <t>คงเหลือ</t>
  </si>
  <si>
    <t>ประกอบงบทดลองและรายงานรับ-จ่ายเงินสด</t>
  </si>
  <si>
    <t xml:space="preserve"> ณ วันที่  31  ตุลาคม   2552</t>
  </si>
  <si>
    <t>บัญชีรายจ่ายค้างจ่าย</t>
  </si>
  <si>
    <t>โครงการก่อสร้างอาคารโรงจอดรถ อบต.เกาะทวด</t>
  </si>
  <si>
    <t>เงินอุดหนุนค้างจ่าย(หมายเหตุ 1)</t>
  </si>
  <si>
    <t>รายจ่ายค้างจ่าย (หมายเหตุ 2)</t>
  </si>
  <si>
    <t>บัญชีเงินอุดหนุนค้างจ่าย</t>
  </si>
  <si>
    <t>หมายเหตุ 4</t>
  </si>
  <si>
    <t>ตั้งแต่ต้นปี</t>
  </si>
  <si>
    <t>ภาษีบำรุงท้องที่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</si>
  <si>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</si>
  <si>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</si>
  <si>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</si>
  <si>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531000</t>
  </si>
  <si>
    <t>532000</t>
  </si>
  <si>
    <t>533000</t>
  </si>
  <si>
    <t>534000</t>
  </si>
  <si>
    <t>542000</t>
  </si>
  <si>
    <t>300000</t>
  </si>
  <si>
    <t>320000</t>
  </si>
  <si>
    <t>400000</t>
  </si>
  <si>
    <t>230100</t>
  </si>
  <si>
    <t xml:space="preserve"> เงินรับฝาก  (หมายเหตุ 3)</t>
  </si>
  <si>
    <t>รายรับ (หมายเหตุ 4)</t>
  </si>
  <si>
    <t>ค่าวัสดุ-เงินอุดหนุนทั่วไปอาหารเสริม(นม) สำหรับนักเรียนชั้น ป.5-ป.6</t>
  </si>
  <si>
    <t>เงินอุดหนุนศูนย์พัฒนาครอบครัวในชุมชน</t>
  </si>
  <si>
    <t>ค่าอาหารกลางวัน ศพด.บ้านวัดโบสถ์</t>
  </si>
  <si>
    <t>ค่าอาหารเสริม(นม)โรงเรียน</t>
  </si>
  <si>
    <t>ค่าอาหารเสริม(นม)ศูนย์พัฒนาเด็กเล็ก</t>
  </si>
  <si>
    <t>ภาษีมูลค่าเพิ่มตามพ.ร.บ.กำหนดแผนฯ</t>
  </si>
  <si>
    <t>ภาษีมูลค่าเพิ่ม 1 ใน 9</t>
  </si>
  <si>
    <t>ค่าปรับผู้กระทำผิดกฎหมายจราจรทางบก</t>
  </si>
  <si>
    <t>ค่าธรรมเนียมการขออนุญาตติดตั้งประปา</t>
  </si>
  <si>
    <t>ค่าบำรุงรักษามาตรวัดน้ำ</t>
  </si>
  <si>
    <t>รายได้จากการจำหน่ายน้ำ</t>
  </si>
  <si>
    <t>เงินอุดหนุนเฉพาะกิจ-โครงการก่อสร้างถนนคสล.ม.6</t>
  </si>
  <si>
    <t>ปีงบประมาณ  2553</t>
  </si>
  <si>
    <t>ประจำเดือนตุลาคม   พ.ศ. 2552</t>
  </si>
  <si>
    <t>ยอดเงินคงเหลือ ณ วันที่  31  ตุลาคม  2552</t>
  </si>
  <si>
    <t>411000</t>
  </si>
  <si>
    <t>412000</t>
  </si>
  <si>
    <t>413000</t>
  </si>
  <si>
    <t>414000</t>
  </si>
  <si>
    <t>415000</t>
  </si>
  <si>
    <t>416000</t>
  </si>
  <si>
    <t>421000</t>
  </si>
  <si>
    <t>431000</t>
  </si>
  <si>
    <t>441000</t>
  </si>
  <si>
    <t>510000</t>
  </si>
  <si>
    <t>560000</t>
  </si>
  <si>
    <t>550000</t>
  </si>
  <si>
    <t>เงินอุดหนุนระบุวัตถุประสงค์</t>
  </si>
  <si>
    <t>110605</t>
  </si>
  <si>
    <t>140000</t>
  </si>
  <si>
    <t>210500</t>
  </si>
  <si>
    <t>องค์การบริหารส่วนตำบลเกาะทวด  อำเภอปากพนัง  จังหวัดนครศรีธรรมราช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</si>
  <si>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</si>
  <si>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</si>
  <si>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</si>
  <si>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</si>
  <si>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รับเงินสะสม</t>
  </si>
  <si>
    <t>รับภาษีหน้าฎีกา</t>
  </si>
  <si>
    <t>รวมเป็นเงิน</t>
  </si>
  <si>
    <t>จ่ายจากเงินตามงบประมาณ</t>
  </si>
  <si>
    <t>จ่ายจากรายจ่ายรอจ่าย</t>
  </si>
  <si>
    <t>จ่ายจากเงินรับฝาก</t>
  </si>
  <si>
    <t>จ่ายจากรายจ่ายค้างจ่าย</t>
  </si>
  <si>
    <t>จ่ายภาษีหน้าฎีกา</t>
  </si>
  <si>
    <t>รายรับ  สูง (ต่ำ)กว่า  รายจ่าย</t>
  </si>
  <si>
    <t>(ลงชื่อ)………………………..                            (ลงชื่อ)………………………..              (ลงชื่อ)……………………………</t>
  </si>
  <si>
    <t xml:space="preserve">        (นายวรรณรัตน์  มณีโชติ)                                    (นายจิราวุธ  กรเพชร)                              (นายวรรณชาติ  ยอดแก้ว)</t>
  </si>
  <si>
    <t xml:space="preserve">       หัวหน้าส่วนการคลัง                                     ปลัดองค์การบริหารส่วนตำบล           นายกองค์การบริหารส่วนตำบลเกาะทวด</t>
  </si>
  <si>
    <t>เพียงวันที่     31  ตุลาคม    2552</t>
  </si>
  <si>
    <t>รับเงินอุดหนุนระบุวัตถุประสงค์</t>
  </si>
  <si>
    <t>จ่ายจากเงินอุดหนุนระบุวัตถุประสงค์</t>
  </si>
  <si>
    <t>ยอดคงเหลือตามบัญชี ณ วันที่ 31  ตุลาคม  2552</t>
  </si>
  <si>
    <t>วันที่ 31 ต.ค 52</t>
  </si>
  <si>
    <t>ประจำเดือนตุลาคม  2552</t>
  </si>
  <si>
    <t>110700</t>
  </si>
  <si>
    <t>110800</t>
  </si>
  <si>
    <t>110000</t>
  </si>
  <si>
    <t>111100</t>
  </si>
  <si>
    <t>111200</t>
  </si>
  <si>
    <t>120100</t>
  </si>
  <si>
    <t xml:space="preserve">510000 </t>
  </si>
  <si>
    <t>เงินเดือน(ฝ่ายการเมือง)</t>
  </si>
  <si>
    <t>เงินเดือน(ฝ่ายประจำ)</t>
  </si>
  <si>
    <t>521000</t>
  </si>
  <si>
    <t>522000</t>
  </si>
  <si>
    <t>-4-</t>
  </si>
  <si>
    <t>(นายวรรณรัตน์   มณีโชติ)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</si>
</sst>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;[Red]0"/>
    <numFmt numFmtId="200" formatCode="#,##0.0"/>
    <numFmt numFmtId="201" formatCode="0.0"/>
    <numFmt numFmtId="202" formatCode="_-* #,##0.0_-;\-* #,##0.0_-;_-* &quot;-&quot;??_-;_-@_-"/>
    <numFmt numFmtId="203" formatCode="_-* #,##0_-;\-* #,##0_-;_-* &quot;-&quot;??_-;_-@_-"/>
    <numFmt numFmtId="204" formatCode="[$-41E]d\ mmmm\ yyyy"/>
    <numFmt numFmtId="205" formatCode="[$-107041E]d\ mmm\ yy;@"/>
    <numFmt numFmtId="206" formatCode="ว\ \ ดด\ \ ปป"/>
    <numFmt numFmtId="207" formatCode="[&lt;=9999999][$-D000000]###\-####;[$-D000000]\(0#\)\ ###\-####"/>
    <numFmt numFmtId="208" formatCode="0.000"/>
    <numFmt numFmtId="209" formatCode="0.0000"/>
    <numFmt numFmtId="210" formatCode="0#"/>
    <numFmt numFmtId="211" formatCode="_-* #,##0.000_-;\-* #,##0.000_-;_-* &quot;-&quot;??_-;_-@_-"/>
    <numFmt numFmtId="212" formatCode="#,##0.00_ ;\-#,##0.00\ "/>
    <numFmt numFmtId="213" formatCode="#,##0.00;[Red]#,##0.00"/>
  </numFmts>
  <fonts count="36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b/>
      <sz val="14"/>
      <name val="Cordia New"/>
      <family val="2"/>
    </font>
    <font>
      <b/>
      <u val="single"/>
      <sz val="16"/>
      <name val="Cordia New"/>
      <family val="2"/>
    </font>
    <font>
      <u val="single"/>
      <sz val="16"/>
      <name val="Cordia New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2"/>
      <name val="Cordia New"/>
      <family val="2"/>
    </font>
    <font>
      <sz val="12"/>
      <name val="Cordia New"/>
      <family val="2"/>
    </font>
    <font>
      <sz val="16"/>
      <name val="Angsana New"/>
      <family val="1"/>
    </font>
    <font>
      <b/>
      <sz val="12"/>
      <color indexed="10"/>
      <name val="Cordia New"/>
      <family val="2"/>
    </font>
    <font>
      <sz val="12"/>
      <color indexed="10"/>
      <name val="Cordia New"/>
      <family val="2"/>
    </font>
    <font>
      <sz val="16"/>
      <color indexed="10"/>
      <name val="Cordia New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b/>
      <sz val="2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sz val="16"/>
      <color indexed="55"/>
      <name val="Angsana New"/>
      <family val="1"/>
    </font>
    <font>
      <sz val="16"/>
      <color indexed="55"/>
      <name val="Angsana New"/>
      <family val="1"/>
    </font>
    <font>
      <b/>
      <sz val="9"/>
      <name val="Tahoma"/>
      <family val="0"/>
    </font>
    <font>
      <sz val="9"/>
      <name val="Tahoma"/>
      <family val="0"/>
    </font>
    <font>
      <b/>
      <sz val="16"/>
      <color indexed="23"/>
      <name val="Angsana New"/>
      <family val="1"/>
    </font>
    <font>
      <sz val="16"/>
      <color indexed="23"/>
      <name val="Angsana New"/>
      <family val="1"/>
    </font>
    <font>
      <sz val="8"/>
      <name val="Cordia New"/>
      <family val="0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10"/>
      <name val="Angsana New"/>
      <family val="1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5" fontId="2" fillId="0" borderId="0" xfId="0" applyNumberFormat="1" applyFont="1" applyAlignment="1">
      <alignment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0" borderId="4" xfId="0" applyBorder="1" applyAlignment="1">
      <alignment horizont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43" fontId="4" fillId="0" borderId="7" xfId="0" applyNumberFormat="1" applyFont="1" applyBorder="1" applyAlignment="1">
      <alignment/>
    </xf>
    <xf numFmtId="43" fontId="4" fillId="0" borderId="3" xfId="0" applyNumberFormat="1" applyFont="1" applyBorder="1" applyAlignment="1">
      <alignment/>
    </xf>
    <xf numFmtId="43" fontId="4" fillId="0" borderId="8" xfId="0" applyNumberFormat="1" applyFont="1" applyBorder="1" applyAlignment="1">
      <alignment/>
    </xf>
    <xf numFmtId="43" fontId="4" fillId="0" borderId="6" xfId="0" applyNumberFormat="1" applyFont="1" applyBorder="1" applyAlignment="1">
      <alignment horizontal="right"/>
    </xf>
    <xf numFmtId="43" fontId="4" fillId="0" borderId="6" xfId="0" applyNumberFormat="1" applyFont="1" applyBorder="1" applyAlignment="1">
      <alignment/>
    </xf>
    <xf numFmtId="43" fontId="4" fillId="0" borderId="9" xfId="0" applyNumberFormat="1" applyFont="1" applyBorder="1" applyAlignment="1">
      <alignment/>
    </xf>
    <xf numFmtId="43" fontId="4" fillId="0" borderId="9" xfId="0" applyNumberFormat="1" applyFont="1" applyBorder="1" applyAlignment="1">
      <alignment horizontal="right"/>
    </xf>
    <xf numFmtId="43" fontId="4" fillId="0" borderId="7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8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2" fillId="0" borderId="15" xfId="0" applyNumberFormat="1" applyFont="1" applyBorder="1" applyAlignment="1">
      <alignment/>
    </xf>
    <xf numFmtId="0" fontId="12" fillId="0" borderId="0" xfId="0" applyFont="1" applyAlignment="1">
      <alignment/>
    </xf>
    <xf numFmtId="43" fontId="12" fillId="0" borderId="6" xfId="0" applyNumberFormat="1" applyFont="1" applyBorder="1" applyAlignment="1">
      <alignment/>
    </xf>
    <xf numFmtId="0" fontId="11" fillId="0" borderId="6" xfId="0" applyFont="1" applyBorder="1" applyAlignment="1">
      <alignment/>
    </xf>
    <xf numFmtId="43" fontId="11" fillId="0" borderId="6" xfId="0" applyNumberFormat="1" applyFont="1" applyBorder="1" applyAlignment="1">
      <alignment horizontal="right"/>
    </xf>
    <xf numFmtId="43" fontId="11" fillId="0" borderId="6" xfId="0" applyNumberFormat="1" applyFont="1" applyBorder="1" applyAlignment="1">
      <alignment/>
    </xf>
    <xf numFmtId="43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6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4" fillId="0" borderId="7" xfId="0" applyFont="1" applyBorder="1" applyAlignment="1">
      <alignment/>
    </xf>
    <xf numFmtId="43" fontId="14" fillId="0" borderId="6" xfId="0" applyNumberFormat="1" applyFont="1" applyBorder="1" applyAlignment="1">
      <alignment horizontal="right"/>
    </xf>
    <xf numFmtId="43" fontId="14" fillId="0" borderId="6" xfId="0" applyNumberFormat="1" applyFont="1" applyBorder="1" applyAlignment="1">
      <alignment/>
    </xf>
    <xf numFmtId="0" fontId="15" fillId="0" borderId="0" xfId="0" applyFont="1" applyAlignment="1">
      <alignment/>
    </xf>
    <xf numFmtId="43" fontId="14" fillId="0" borderId="0" xfId="0" applyNumberFormat="1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43" fontId="15" fillId="0" borderId="6" xfId="0" applyNumberFormat="1" applyFont="1" applyBorder="1" applyAlignment="1">
      <alignment/>
    </xf>
    <xf numFmtId="43" fontId="14" fillId="0" borderId="20" xfId="0" applyNumberFormat="1" applyFont="1" applyBorder="1" applyAlignment="1">
      <alignment horizontal="right"/>
    </xf>
    <xf numFmtId="43" fontId="15" fillId="0" borderId="20" xfId="0" applyNumberFormat="1" applyFont="1" applyBorder="1" applyAlignment="1">
      <alignment/>
    </xf>
    <xf numFmtId="43" fontId="15" fillId="0" borderId="0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43" fontId="1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49" fontId="13" fillId="0" borderId="21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4" xfId="0" applyFont="1" applyBorder="1" applyAlignment="1">
      <alignment/>
    </xf>
    <xf numFmtId="0" fontId="19" fillId="0" borderId="4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24" xfId="0" applyFont="1" applyBorder="1" applyAlignment="1">
      <alignment horizontal="center"/>
    </xf>
    <xf numFmtId="3" fontId="13" fillId="0" borderId="23" xfId="0" applyNumberFormat="1" applyFont="1" applyBorder="1" applyAlignment="1">
      <alignment/>
    </xf>
    <xf numFmtId="0" fontId="13" fillId="0" borderId="24" xfId="0" applyFont="1" applyBorder="1" applyAlignment="1">
      <alignment horizontal="center"/>
    </xf>
    <xf numFmtId="3" fontId="13" fillId="0" borderId="4" xfId="0" applyNumberFormat="1" applyFont="1" applyBorder="1" applyAlignment="1">
      <alignment/>
    </xf>
    <xf numFmtId="3" fontId="13" fillId="0" borderId="4" xfId="0" applyNumberFormat="1" applyFont="1" applyBorder="1" applyAlignment="1">
      <alignment horizontal="right"/>
    </xf>
    <xf numFmtId="210" fontId="13" fillId="0" borderId="24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7" fillId="0" borderId="0" xfId="0" applyFont="1" applyBorder="1" applyAlignment="1">
      <alignment/>
    </xf>
    <xf numFmtId="3" fontId="13" fillId="0" borderId="25" xfId="0" applyNumberFormat="1" applyFont="1" applyBorder="1" applyAlignment="1">
      <alignment/>
    </xf>
    <xf numFmtId="210" fontId="13" fillId="0" borderId="26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3" fillId="0" borderId="27" xfId="0" applyFont="1" applyBorder="1" applyAlignment="1">
      <alignment horizontal="center"/>
    </xf>
    <xf numFmtId="3" fontId="13" fillId="0" borderId="23" xfId="0" applyNumberFormat="1" applyFont="1" applyBorder="1" applyAlignment="1">
      <alignment horizontal="right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3" fontId="13" fillId="0" borderId="30" xfId="0" applyNumberFormat="1" applyFont="1" applyBorder="1" applyAlignment="1">
      <alignment/>
    </xf>
    <xf numFmtId="210" fontId="13" fillId="0" borderId="28" xfId="0" applyNumberFormat="1" applyFont="1" applyBorder="1" applyAlignment="1">
      <alignment horizontal="center"/>
    </xf>
    <xf numFmtId="0" fontId="13" fillId="0" borderId="4" xfId="0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5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10" xfId="0" applyNumberFormat="1" applyFont="1" applyBorder="1" applyAlignment="1">
      <alignment/>
    </xf>
    <xf numFmtId="210" fontId="13" fillId="0" borderId="3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/>
    </xf>
    <xf numFmtId="0" fontId="17" fillId="0" borderId="27" xfId="0" applyFont="1" applyBorder="1" applyAlignment="1">
      <alignment/>
    </xf>
    <xf numFmtId="0" fontId="19" fillId="0" borderId="1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13" fillId="0" borderId="26" xfId="0" applyNumberFormat="1" applyFont="1" applyBorder="1" applyAlignment="1">
      <alignment horizontal="center"/>
    </xf>
    <xf numFmtId="3" fontId="13" fillId="0" borderId="34" xfId="0" applyNumberFormat="1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28" xfId="0" applyFont="1" applyBorder="1" applyAlignment="1">
      <alignment/>
    </xf>
    <xf numFmtId="210" fontId="13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7" fillId="0" borderId="4" xfId="0" applyFont="1" applyBorder="1" applyAlignment="1">
      <alignment horizontal="center"/>
    </xf>
    <xf numFmtId="43" fontId="13" fillId="0" borderId="0" xfId="17" applyFont="1" applyAlignment="1">
      <alignment/>
    </xf>
    <xf numFmtId="210" fontId="13" fillId="0" borderId="29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94" fontId="13" fillId="0" borderId="2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6" fillId="0" borderId="4" xfId="17" applyFont="1" applyBorder="1" applyAlignment="1">
      <alignment horizontal="right"/>
    </xf>
    <xf numFmtId="43" fontId="16" fillId="0" borderId="0" xfId="17" applyFont="1" applyBorder="1" applyAlignment="1">
      <alignment horizontal="right"/>
    </xf>
    <xf numFmtId="0" fontId="1" fillId="0" borderId="2" xfId="0" applyFont="1" applyBorder="1" applyAlignment="1">
      <alignment/>
    </xf>
    <xf numFmtId="49" fontId="2" fillId="0" borderId="0" xfId="0" applyNumberFormat="1" applyFont="1" applyAlignment="1">
      <alignment horizontal="right"/>
    </xf>
    <xf numFmtId="43" fontId="13" fillId="0" borderId="0" xfId="17" applyFont="1" applyBorder="1" applyAlignment="1">
      <alignment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43" fontId="26" fillId="0" borderId="0" xfId="17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11" fillId="0" borderId="12" xfId="0" applyNumberFormat="1" applyFont="1" applyBorder="1" applyAlignment="1">
      <alignment/>
    </xf>
    <xf numFmtId="49" fontId="11" fillId="0" borderId="8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2" fillId="0" borderId="15" xfId="0" applyNumberFormat="1" applyFont="1" applyBorder="1" applyAlignment="1">
      <alignment/>
    </xf>
    <xf numFmtId="49" fontId="11" fillId="0" borderId="7" xfId="0" applyNumberFormat="1" applyFont="1" applyBorder="1" applyAlignment="1">
      <alignment/>
    </xf>
    <xf numFmtId="43" fontId="11" fillId="0" borderId="7" xfId="0" applyNumberFormat="1" applyFont="1" applyBorder="1" applyAlignment="1">
      <alignment/>
    </xf>
    <xf numFmtId="43" fontId="11" fillId="0" borderId="3" xfId="0" applyNumberFormat="1" applyFont="1" applyBorder="1" applyAlignment="1">
      <alignment/>
    </xf>
    <xf numFmtId="43" fontId="11" fillId="0" borderId="8" xfId="0" applyNumberFormat="1" applyFont="1" applyBorder="1" applyAlignment="1">
      <alignment/>
    </xf>
    <xf numFmtId="43" fontId="12" fillId="0" borderId="8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6" xfId="0" applyNumberFormat="1" applyFont="1" applyBorder="1" applyAlignment="1">
      <alignment horizontal="right"/>
    </xf>
    <xf numFmtId="43" fontId="12" fillId="0" borderId="6" xfId="0" applyNumberFormat="1" applyFont="1" applyBorder="1" applyAlignment="1">
      <alignment horizontal="right"/>
    </xf>
    <xf numFmtId="43" fontId="12" fillId="0" borderId="6" xfId="0" applyNumberFormat="1" applyFont="1" applyBorder="1" applyAlignment="1">
      <alignment/>
    </xf>
    <xf numFmtId="43" fontId="12" fillId="0" borderId="9" xfId="0" applyNumberFormat="1" applyFont="1" applyBorder="1" applyAlignment="1">
      <alignment/>
    </xf>
    <xf numFmtId="0" fontId="11" fillId="0" borderId="6" xfId="0" applyFont="1" applyBorder="1" applyAlignment="1">
      <alignment/>
    </xf>
    <xf numFmtId="43" fontId="11" fillId="0" borderId="6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6" xfId="0" applyFont="1" applyBorder="1" applyAlignment="1">
      <alignment horizontal="left"/>
    </xf>
    <xf numFmtId="43" fontId="11" fillId="0" borderId="6" xfId="0" applyNumberFormat="1" applyFont="1" applyBorder="1" applyAlignment="1">
      <alignment/>
    </xf>
    <xf numFmtId="43" fontId="11" fillId="0" borderId="9" xfId="0" applyNumberFormat="1" applyFont="1" applyBorder="1" applyAlignment="1">
      <alignment/>
    </xf>
    <xf numFmtId="0" fontId="12" fillId="0" borderId="6" xfId="0" applyFont="1" applyBorder="1" applyAlignment="1">
      <alignment/>
    </xf>
    <xf numFmtId="43" fontId="11" fillId="0" borderId="9" xfId="0" applyNumberFormat="1" applyFont="1" applyBorder="1" applyAlignment="1">
      <alignment horizontal="right"/>
    </xf>
    <xf numFmtId="0" fontId="11" fillId="0" borderId="7" xfId="0" applyFont="1" applyBorder="1" applyAlignment="1">
      <alignment horizontal="left"/>
    </xf>
    <xf numFmtId="43" fontId="11" fillId="0" borderId="7" xfId="0" applyNumberFormat="1" applyFont="1" applyBorder="1" applyAlignment="1">
      <alignment horizontal="right"/>
    </xf>
    <xf numFmtId="43" fontId="11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11" fillId="0" borderId="0" xfId="0" applyNumberFormat="1" applyFont="1" applyBorder="1" applyAlignment="1">
      <alignment horizontal="right"/>
    </xf>
    <xf numFmtId="4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3" fontId="11" fillId="0" borderId="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/>
    </xf>
    <xf numFmtId="0" fontId="12" fillId="0" borderId="6" xfId="0" applyFont="1" applyBorder="1" applyAlignment="1">
      <alignment horizontal="right"/>
    </xf>
    <xf numFmtId="43" fontId="12" fillId="0" borderId="6" xfId="0" applyNumberFormat="1" applyFont="1" applyBorder="1" applyAlignment="1">
      <alignment horizontal="center"/>
    </xf>
    <xf numFmtId="43" fontId="11" fillId="0" borderId="2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29" fillId="0" borderId="0" xfId="0" applyFont="1" applyBorder="1" applyAlignment="1">
      <alignment/>
    </xf>
    <xf numFmtId="43" fontId="30" fillId="0" borderId="0" xfId="17" applyFont="1" applyBorder="1" applyAlignment="1">
      <alignment/>
    </xf>
    <xf numFmtId="0" fontId="30" fillId="0" borderId="0" xfId="0" applyFont="1" applyBorder="1" applyAlignment="1">
      <alignment horizontal="right"/>
    </xf>
    <xf numFmtId="43" fontId="17" fillId="0" borderId="0" xfId="17" applyFont="1" applyAlignment="1">
      <alignment/>
    </xf>
    <xf numFmtId="43" fontId="15" fillId="0" borderId="0" xfId="17" applyFont="1" applyAlignment="1">
      <alignment/>
    </xf>
    <xf numFmtId="43" fontId="12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7" fillId="0" borderId="0" xfId="0" applyFont="1" applyAlignment="1">
      <alignment/>
    </xf>
    <xf numFmtId="0" fontId="18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43" fontId="18" fillId="0" borderId="22" xfId="17" applyFont="1" applyBorder="1" applyAlignment="1">
      <alignment/>
    </xf>
    <xf numFmtId="0" fontId="18" fillId="0" borderId="7" xfId="0" applyFont="1" applyBorder="1" applyAlignment="1">
      <alignment horizontal="center"/>
    </xf>
    <xf numFmtId="0" fontId="13" fillId="0" borderId="7" xfId="0" applyFont="1" applyBorder="1" applyAlignment="1">
      <alignment/>
    </xf>
    <xf numFmtId="43" fontId="18" fillId="0" borderId="7" xfId="17" applyFont="1" applyBorder="1" applyAlignment="1">
      <alignment/>
    </xf>
    <xf numFmtId="0" fontId="23" fillId="0" borderId="6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3" fillId="0" borderId="35" xfId="0" applyFont="1" applyBorder="1" applyAlignment="1">
      <alignment/>
    </xf>
    <xf numFmtId="43" fontId="18" fillId="0" borderId="35" xfId="17" applyFont="1" applyBorder="1" applyAlignment="1">
      <alignment/>
    </xf>
    <xf numFmtId="43" fontId="18" fillId="0" borderId="25" xfId="0" applyNumberFormat="1" applyFont="1" applyBorder="1" applyAlignment="1">
      <alignment/>
    </xf>
    <xf numFmtId="43" fontId="18" fillId="0" borderId="0" xfId="0" applyNumberFormat="1" applyFont="1" applyBorder="1" applyAlignment="1">
      <alignment/>
    </xf>
    <xf numFmtId="43" fontId="13" fillId="0" borderId="0" xfId="0" applyNumberFormat="1" applyFont="1" applyAlignment="1">
      <alignment/>
    </xf>
    <xf numFmtId="43" fontId="13" fillId="0" borderId="36" xfId="0" applyNumberFormat="1" applyFont="1" applyBorder="1" applyAlignment="1">
      <alignment/>
    </xf>
    <xf numFmtId="0" fontId="18" fillId="0" borderId="0" xfId="0" applyFont="1" applyBorder="1" applyAlignment="1">
      <alignment/>
    </xf>
    <xf numFmtId="43" fontId="18" fillId="0" borderId="0" xfId="17" applyFont="1" applyBorder="1" applyAlignment="1">
      <alignment/>
    </xf>
    <xf numFmtId="43" fontId="18" fillId="0" borderId="36" xfId="0" applyNumberFormat="1" applyFont="1" applyBorder="1" applyAlignment="1">
      <alignment/>
    </xf>
    <xf numFmtId="0" fontId="24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43" fontId="23" fillId="0" borderId="22" xfId="17" applyFont="1" applyBorder="1" applyAlignment="1">
      <alignment horizontal="center"/>
    </xf>
    <xf numFmtId="0" fontId="18" fillId="0" borderId="7" xfId="0" applyFont="1" applyBorder="1" applyAlignment="1">
      <alignment horizontal="left"/>
    </xf>
    <xf numFmtId="0" fontId="23" fillId="0" borderId="7" xfId="0" applyFont="1" applyBorder="1" applyAlignment="1">
      <alignment horizontal="center"/>
    </xf>
    <xf numFmtId="0" fontId="18" fillId="0" borderId="35" xfId="0" applyFont="1" applyBorder="1" applyAlignment="1">
      <alignment horizontal="left"/>
    </xf>
    <xf numFmtId="43" fontId="23" fillId="0" borderId="35" xfId="17" applyFont="1" applyBorder="1" applyAlignment="1">
      <alignment horizontal="right"/>
    </xf>
    <xf numFmtId="0" fontId="23" fillId="0" borderId="35" xfId="0" applyFont="1" applyBorder="1" applyAlignment="1">
      <alignment horizontal="center"/>
    </xf>
    <xf numFmtId="0" fontId="24" fillId="0" borderId="35" xfId="0" applyFont="1" applyBorder="1" applyAlignment="1">
      <alignment horizontal="left"/>
    </xf>
    <xf numFmtId="43" fontId="23" fillId="0" borderId="25" xfId="0" applyNumberFormat="1" applyFont="1" applyBorder="1" applyAlignment="1">
      <alignment horizontal="center"/>
    </xf>
    <xf numFmtId="43" fontId="23" fillId="0" borderId="37" xfId="17" applyFont="1" applyBorder="1" applyAlignment="1">
      <alignment horizontal="right"/>
    </xf>
    <xf numFmtId="43" fontId="23" fillId="0" borderId="38" xfId="17" applyFont="1" applyBorder="1" applyAlignment="1">
      <alignment horizontal="center"/>
    </xf>
    <xf numFmtId="43" fontId="23" fillId="0" borderId="6" xfId="17" applyFont="1" applyBorder="1" applyAlignment="1">
      <alignment horizontal="center"/>
    </xf>
    <xf numFmtId="43" fontId="23" fillId="0" borderId="37" xfId="17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43" fontId="23" fillId="0" borderId="6" xfId="0" applyNumberFormat="1" applyFont="1" applyBorder="1" applyAlignment="1">
      <alignment horizontal="center"/>
    </xf>
    <xf numFmtId="43" fontId="22" fillId="0" borderId="0" xfId="17" applyFont="1" applyAlignment="1">
      <alignment/>
    </xf>
    <xf numFmtId="43" fontId="17" fillId="0" borderId="0" xfId="17" applyFont="1" applyAlignment="1">
      <alignment horizontal="center"/>
    </xf>
    <xf numFmtId="3" fontId="13" fillId="0" borderId="4" xfId="17" applyNumberFormat="1" applyFont="1" applyBorder="1" applyAlignment="1">
      <alignment horizontal="right"/>
    </xf>
    <xf numFmtId="41" fontId="13" fillId="0" borderId="4" xfId="0" applyNumberFormat="1" applyFont="1" applyBorder="1" applyAlignment="1">
      <alignment horizontal="right"/>
    </xf>
    <xf numFmtId="41" fontId="13" fillId="0" borderId="4" xfId="0" applyNumberFormat="1" applyFont="1" applyBorder="1" applyAlignment="1">
      <alignment horizontal="center"/>
    </xf>
    <xf numFmtId="41" fontId="13" fillId="0" borderId="0" xfId="0" applyNumberFormat="1" applyFont="1" applyAlignment="1">
      <alignment horizontal="center"/>
    </xf>
    <xf numFmtId="41" fontId="13" fillId="0" borderId="5" xfId="0" applyNumberFormat="1" applyFont="1" applyBorder="1" applyAlignment="1">
      <alignment horizontal="center"/>
    </xf>
    <xf numFmtId="41" fontId="13" fillId="0" borderId="4" xfId="0" applyNumberFormat="1" applyFont="1" applyBorder="1" applyAlignment="1">
      <alignment/>
    </xf>
    <xf numFmtId="41" fontId="13" fillId="0" borderId="23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43" fontId="13" fillId="0" borderId="39" xfId="17" applyFont="1" applyBorder="1" applyAlignment="1">
      <alignment/>
    </xf>
    <xf numFmtId="43" fontId="13" fillId="0" borderId="36" xfId="17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22" xfId="0" applyFont="1" applyBorder="1" applyAlignment="1">
      <alignment horizontal="left" vertical="center"/>
    </xf>
    <xf numFmtId="49" fontId="33" fillId="0" borderId="22" xfId="0" applyNumberFormat="1" applyFont="1" applyBorder="1" applyAlignment="1">
      <alignment horizontal="center" vertical="center"/>
    </xf>
    <xf numFmtId="41" fontId="33" fillId="0" borderId="40" xfId="0" applyNumberFormat="1" applyFont="1" applyBorder="1" applyAlignment="1">
      <alignment horizontal="right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22" xfId="0" applyFont="1" applyBorder="1" applyAlignment="1">
      <alignment/>
    </xf>
    <xf numFmtId="49" fontId="33" fillId="0" borderId="22" xfId="0" applyNumberFormat="1" applyFont="1" applyBorder="1" applyAlignment="1">
      <alignment horizontal="center"/>
    </xf>
    <xf numFmtId="3" fontId="33" fillId="0" borderId="44" xfId="0" applyNumberFormat="1" applyFont="1" applyBorder="1" applyAlignment="1">
      <alignment/>
    </xf>
    <xf numFmtId="210" fontId="33" fillId="0" borderId="45" xfId="0" applyNumberFormat="1" applyFont="1" applyBorder="1" applyAlignment="1">
      <alignment horizontal="center"/>
    </xf>
    <xf numFmtId="3" fontId="33" fillId="0" borderId="44" xfId="0" applyNumberFormat="1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3" fontId="33" fillId="0" borderId="44" xfId="0" applyNumberFormat="1" applyFont="1" applyBorder="1" applyAlignment="1">
      <alignment horizontal="right"/>
    </xf>
    <xf numFmtId="210" fontId="33" fillId="0" borderId="46" xfId="0" applyNumberFormat="1" applyFont="1" applyBorder="1" applyAlignment="1">
      <alignment horizontal="center"/>
    </xf>
    <xf numFmtId="210" fontId="33" fillId="0" borderId="47" xfId="0" applyNumberFormat="1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3" fontId="33" fillId="0" borderId="48" xfId="0" applyNumberFormat="1" applyFont="1" applyBorder="1" applyAlignment="1">
      <alignment/>
    </xf>
    <xf numFmtId="210" fontId="33" fillId="0" borderId="49" xfId="0" applyNumberFormat="1" applyFont="1" applyBorder="1" applyAlignment="1">
      <alignment horizontal="center"/>
    </xf>
    <xf numFmtId="0" fontId="34" fillId="0" borderId="22" xfId="0" applyFont="1" applyBorder="1" applyAlignment="1">
      <alignment/>
    </xf>
    <xf numFmtId="3" fontId="33" fillId="0" borderId="48" xfId="0" applyNumberFormat="1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7" xfId="0" applyFont="1" applyBorder="1" applyAlignment="1">
      <alignment/>
    </xf>
    <xf numFmtId="49" fontId="33" fillId="0" borderId="7" xfId="0" applyNumberFormat="1" applyFont="1" applyBorder="1" applyAlignment="1">
      <alignment horizontal="center"/>
    </xf>
    <xf numFmtId="3" fontId="33" fillId="0" borderId="48" xfId="0" applyNumberFormat="1" applyFont="1" applyBorder="1" applyAlignment="1">
      <alignment horizontal="right"/>
    </xf>
    <xf numFmtId="0" fontId="33" fillId="0" borderId="46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3" fontId="33" fillId="0" borderId="50" xfId="0" applyNumberFormat="1" applyFont="1" applyBorder="1" applyAlignment="1">
      <alignment/>
    </xf>
    <xf numFmtId="210" fontId="33" fillId="0" borderId="36" xfId="0" applyNumberFormat="1" applyFont="1" applyBorder="1" applyAlignment="1">
      <alignment horizontal="center"/>
    </xf>
    <xf numFmtId="210" fontId="33" fillId="0" borderId="51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/>
    </xf>
    <xf numFmtId="210" fontId="33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4" fontId="13" fillId="0" borderId="36" xfId="17" applyNumberFormat="1" applyFont="1" applyBorder="1" applyAlignment="1">
      <alignment/>
    </xf>
    <xf numFmtId="43" fontId="11" fillId="0" borderId="20" xfId="0" applyNumberFormat="1" applyFont="1" applyBorder="1" applyAlignment="1">
      <alignment horizontal="center"/>
    </xf>
    <xf numFmtId="43" fontId="0" fillId="0" borderId="8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43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3" fontId="4" fillId="0" borderId="21" xfId="0" applyNumberFormat="1" applyFont="1" applyBorder="1" applyAlignment="1">
      <alignment horizontal="right"/>
    </xf>
    <xf numFmtId="43" fontId="4" fillId="0" borderId="20" xfId="0" applyNumberFormat="1" applyFont="1" applyBorder="1" applyAlignment="1">
      <alignment horizontal="right"/>
    </xf>
    <xf numFmtId="43" fontId="0" fillId="0" borderId="20" xfId="0" applyNumberFormat="1" applyFont="1" applyBorder="1" applyAlignment="1">
      <alignment horizontal="center"/>
    </xf>
    <xf numFmtId="43" fontId="0" fillId="0" borderId="2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2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center"/>
    </xf>
    <xf numFmtId="43" fontId="16" fillId="0" borderId="52" xfId="17" applyFont="1" applyBorder="1" applyAlignment="1">
      <alignment horizontal="right"/>
    </xf>
    <xf numFmtId="43" fontId="16" fillId="0" borderId="20" xfId="17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3" fontId="16" fillId="0" borderId="5" xfId="17" applyFont="1" applyBorder="1" applyAlignment="1">
      <alignment horizontal="right"/>
    </xf>
    <xf numFmtId="43" fontId="16" fillId="0" borderId="2" xfId="17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0" fontId="20" fillId="0" borderId="53" xfId="0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" fillId="0" borderId="52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1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49" fontId="32" fillId="0" borderId="7" xfId="0" applyNumberFormat="1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43" fontId="11" fillId="0" borderId="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61" xfId="0" applyNumberFormat="1" applyFont="1" applyBorder="1" applyAlignment="1">
      <alignment horizontal="center"/>
    </xf>
    <xf numFmtId="49" fontId="11" fillId="0" borderId="62" xfId="0" applyNumberFormat="1" applyFont="1" applyBorder="1" applyAlignment="1">
      <alignment horizontal="center"/>
    </xf>
    <xf numFmtId="49" fontId="11" fillId="0" borderId="6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61" xfId="0" applyNumberFormat="1" applyFont="1" applyBorder="1" applyAlignment="1">
      <alignment horizontal="center"/>
    </xf>
    <xf numFmtId="49" fontId="11" fillId="0" borderId="62" xfId="0" applyNumberFormat="1" applyFont="1" applyBorder="1" applyAlignment="1">
      <alignment horizontal="center"/>
    </xf>
    <xf numFmtId="49" fontId="11" fillId="0" borderId="6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49" fontId="4" fillId="0" borderId="6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3" fontId="0" fillId="0" borderId="2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zoomScaleSheetLayoutView="100" workbookViewId="0" topLeftCell="A1">
      <selection activeCell="E11" sqref="E11"/>
    </sheetView>
  </sheetViews>
  <sheetFormatPr defaultColWidth="9.140625" defaultRowHeight="21.75"/>
  <cols>
    <col min="1" max="1" width="13.7109375" style="91" customWidth="1"/>
    <col min="2" max="2" width="6.8515625" style="91" customWidth="1"/>
    <col min="3" max="3" width="13.7109375" style="91" customWidth="1"/>
    <col min="4" max="4" width="6.8515625" style="91" customWidth="1"/>
    <col min="5" max="5" width="4.421875" style="91" customWidth="1"/>
    <col min="6" max="6" width="37.28125" style="91" customWidth="1"/>
    <col min="7" max="7" width="8.00390625" style="118" customWidth="1"/>
    <col min="8" max="8" width="13.7109375" style="91" customWidth="1"/>
    <col min="9" max="9" width="6.8515625" style="91" customWidth="1"/>
    <col min="10" max="10" width="9.140625" style="91" customWidth="1"/>
    <col min="11" max="11" width="12.7109375" style="213" bestFit="1" customWidth="1"/>
    <col min="12" max="12" width="11.8515625" style="213" customWidth="1"/>
    <col min="13" max="13" width="12.7109375" style="213" bestFit="1" customWidth="1"/>
    <col min="14" max="14" width="13.421875" style="213" customWidth="1"/>
    <col min="15" max="16384" width="9.140625" style="91" customWidth="1"/>
  </cols>
  <sheetData>
    <row r="1" spans="1:14" s="140" customFormat="1" ht="29.25">
      <c r="A1" s="352" t="s">
        <v>21</v>
      </c>
      <c r="B1" s="352"/>
      <c r="C1" s="352"/>
      <c r="D1" s="352"/>
      <c r="E1" s="352"/>
      <c r="F1" s="352"/>
      <c r="G1" s="352"/>
      <c r="H1" s="352"/>
      <c r="I1" s="352"/>
      <c r="K1" s="252"/>
      <c r="L1" s="252"/>
      <c r="M1" s="252"/>
      <c r="N1" s="252"/>
    </row>
    <row r="2" spans="1:14" s="140" customFormat="1" ht="29.25">
      <c r="A2" s="352" t="s">
        <v>70</v>
      </c>
      <c r="B2" s="352"/>
      <c r="C2" s="352"/>
      <c r="D2" s="352"/>
      <c r="E2" s="352"/>
      <c r="F2" s="352"/>
      <c r="G2" s="352"/>
      <c r="H2" s="352"/>
      <c r="I2" s="352"/>
      <c r="K2" s="252"/>
      <c r="L2" s="252"/>
      <c r="M2" s="252"/>
      <c r="N2" s="252"/>
    </row>
    <row r="3" spans="1:14" s="140" customFormat="1" ht="29.25">
      <c r="A3" s="141"/>
      <c r="B3" s="141"/>
      <c r="C3" s="141"/>
      <c r="D3" s="141"/>
      <c r="E3" s="141"/>
      <c r="F3" s="141"/>
      <c r="G3" s="142" t="s">
        <v>202</v>
      </c>
      <c r="I3" s="141"/>
      <c r="K3" s="252"/>
      <c r="L3" s="252"/>
      <c r="M3" s="252"/>
      <c r="N3" s="252"/>
    </row>
    <row r="4" spans="1:9" ht="31.5">
      <c r="A4" s="353" t="s">
        <v>22</v>
      </c>
      <c r="B4" s="353"/>
      <c r="C4" s="353"/>
      <c r="D4" s="353"/>
      <c r="E4" s="353"/>
      <c r="F4" s="353"/>
      <c r="G4" s="353"/>
      <c r="H4" s="353"/>
      <c r="I4" s="353"/>
    </row>
    <row r="5" spans="1:14" s="140" customFormat="1" ht="30" thickBot="1">
      <c r="A5" s="143"/>
      <c r="B5" s="143"/>
      <c r="C5" s="143"/>
      <c r="D5" s="143"/>
      <c r="E5" s="143"/>
      <c r="F5" s="334" t="s">
        <v>203</v>
      </c>
      <c r="G5" s="334"/>
      <c r="H5" s="334"/>
      <c r="I5" s="143"/>
      <c r="K5" s="252"/>
      <c r="L5" s="252"/>
      <c r="M5" s="252"/>
      <c r="N5" s="252"/>
    </row>
    <row r="6" spans="1:9" ht="24" thickTop="1">
      <c r="A6" s="354" t="s">
        <v>23</v>
      </c>
      <c r="B6" s="355"/>
      <c r="C6" s="355"/>
      <c r="D6" s="356"/>
      <c r="E6" s="357"/>
      <c r="F6" s="358"/>
      <c r="G6" s="128"/>
      <c r="H6" s="354" t="s">
        <v>24</v>
      </c>
      <c r="I6" s="356"/>
    </row>
    <row r="7" spans="1:9" ht="23.25">
      <c r="A7" s="341" t="s">
        <v>25</v>
      </c>
      <c r="B7" s="342"/>
      <c r="C7" s="336" t="s">
        <v>26</v>
      </c>
      <c r="D7" s="337"/>
      <c r="E7" s="335" t="s">
        <v>27</v>
      </c>
      <c r="F7" s="336"/>
      <c r="G7" s="94" t="s">
        <v>28</v>
      </c>
      <c r="H7" s="335" t="s">
        <v>26</v>
      </c>
      <c r="I7" s="337"/>
    </row>
    <row r="8" spans="1:9" ht="24" thickBot="1">
      <c r="A8" s="348" t="s">
        <v>29</v>
      </c>
      <c r="B8" s="349"/>
      <c r="C8" s="350" t="s">
        <v>29</v>
      </c>
      <c r="D8" s="349"/>
      <c r="E8" s="348"/>
      <c r="F8" s="350"/>
      <c r="G8" s="129" t="s">
        <v>30</v>
      </c>
      <c r="H8" s="348" t="s">
        <v>29</v>
      </c>
      <c r="I8" s="349"/>
    </row>
    <row r="9" spans="1:9" ht="24" thickTop="1">
      <c r="A9" s="137"/>
      <c r="B9" s="138"/>
      <c r="C9" s="136">
        <v>4837463</v>
      </c>
      <c r="D9" s="120">
        <v>19</v>
      </c>
      <c r="E9" s="130" t="s">
        <v>31</v>
      </c>
      <c r="F9" s="131"/>
      <c r="G9" s="128"/>
      <c r="H9" s="104">
        <v>4837463</v>
      </c>
      <c r="I9" s="120">
        <v>19</v>
      </c>
    </row>
    <row r="10" spans="1:9" ht="23.25">
      <c r="A10" s="121"/>
      <c r="B10" s="122"/>
      <c r="C10" s="121"/>
      <c r="D10" s="103"/>
      <c r="E10" s="99" t="s">
        <v>109</v>
      </c>
      <c r="F10" s="132"/>
      <c r="G10" s="94"/>
      <c r="H10" s="121"/>
      <c r="I10" s="103"/>
    </row>
    <row r="11" spans="1:9" ht="23.25">
      <c r="A11" s="104">
        <v>8465500</v>
      </c>
      <c r="B11" s="103" t="s">
        <v>69</v>
      </c>
      <c r="C11" s="104">
        <v>1022353</v>
      </c>
      <c r="D11" s="106">
        <v>61</v>
      </c>
      <c r="F11" s="100" t="s">
        <v>32</v>
      </c>
      <c r="G11" s="94" t="s">
        <v>205</v>
      </c>
      <c r="H11" s="105">
        <v>1022353</v>
      </c>
      <c r="I11" s="103">
        <v>61</v>
      </c>
    </row>
    <row r="12" spans="1:9" ht="23.25">
      <c r="A12" s="105">
        <v>51300</v>
      </c>
      <c r="B12" s="103" t="s">
        <v>69</v>
      </c>
      <c r="C12" s="105">
        <v>9210</v>
      </c>
      <c r="D12" s="103" t="s">
        <v>69</v>
      </c>
      <c r="F12" s="100" t="s">
        <v>33</v>
      </c>
      <c r="G12" s="94" t="s">
        <v>206</v>
      </c>
      <c r="H12" s="105">
        <v>9210</v>
      </c>
      <c r="I12" s="103" t="s">
        <v>69</v>
      </c>
    </row>
    <row r="13" spans="1:9" ht="23.25">
      <c r="A13" s="105">
        <v>32000</v>
      </c>
      <c r="B13" s="103" t="s">
        <v>69</v>
      </c>
      <c r="C13" s="255">
        <v>0</v>
      </c>
      <c r="D13" s="106" t="s">
        <v>69</v>
      </c>
      <c r="F13" s="100" t="s">
        <v>34</v>
      </c>
      <c r="G13" s="94" t="s">
        <v>207</v>
      </c>
      <c r="H13" s="255">
        <v>0</v>
      </c>
      <c r="I13" s="106" t="s">
        <v>69</v>
      </c>
    </row>
    <row r="14" spans="1:9" ht="23.25">
      <c r="A14" s="105">
        <v>184300</v>
      </c>
      <c r="B14" s="103" t="s">
        <v>69</v>
      </c>
      <c r="C14" s="105">
        <v>9756</v>
      </c>
      <c r="D14" s="103" t="s">
        <v>69</v>
      </c>
      <c r="F14" s="100" t="s">
        <v>35</v>
      </c>
      <c r="G14" s="94" t="s">
        <v>208</v>
      </c>
      <c r="H14" s="105">
        <v>9756</v>
      </c>
      <c r="I14" s="103" t="s">
        <v>69</v>
      </c>
    </row>
    <row r="15" spans="1:9" ht="23.25">
      <c r="A15" s="105">
        <v>75000</v>
      </c>
      <c r="B15" s="103" t="s">
        <v>69</v>
      </c>
      <c r="C15" s="255">
        <v>400</v>
      </c>
      <c r="D15" s="103" t="s">
        <v>69</v>
      </c>
      <c r="F15" s="100" t="s">
        <v>36</v>
      </c>
      <c r="G15" s="94" t="s">
        <v>209</v>
      </c>
      <c r="H15" s="105">
        <v>400</v>
      </c>
      <c r="I15" s="103" t="s">
        <v>69</v>
      </c>
    </row>
    <row r="16" spans="1:9" ht="23.25">
      <c r="A16" s="133" t="s">
        <v>69</v>
      </c>
      <c r="B16" s="103" t="s">
        <v>69</v>
      </c>
      <c r="C16" s="256">
        <v>0</v>
      </c>
      <c r="D16" s="103" t="s">
        <v>69</v>
      </c>
      <c r="F16" s="100" t="s">
        <v>37</v>
      </c>
      <c r="G16" s="94" t="s">
        <v>210</v>
      </c>
      <c r="H16" s="256">
        <v>0</v>
      </c>
      <c r="I16" s="103" t="s">
        <v>69</v>
      </c>
    </row>
    <row r="17" spans="1:9" ht="23.25">
      <c r="A17" s="133" t="s">
        <v>69</v>
      </c>
      <c r="B17" s="103" t="s">
        <v>69</v>
      </c>
      <c r="C17" s="256">
        <v>0</v>
      </c>
      <c r="D17" s="103" t="s">
        <v>69</v>
      </c>
      <c r="F17" s="100" t="s">
        <v>38</v>
      </c>
      <c r="G17" s="94" t="s">
        <v>211</v>
      </c>
      <c r="H17" s="257">
        <v>0</v>
      </c>
      <c r="I17" s="103" t="s">
        <v>69</v>
      </c>
    </row>
    <row r="18" spans="1:9" ht="23.25">
      <c r="A18" s="105">
        <v>8071150</v>
      </c>
      <c r="B18" s="116" t="s">
        <v>69</v>
      </c>
      <c r="C18" s="255">
        <v>0</v>
      </c>
      <c r="D18" s="146" t="s">
        <v>69</v>
      </c>
      <c r="F18" s="100" t="s">
        <v>39</v>
      </c>
      <c r="G18" s="94" t="s">
        <v>212</v>
      </c>
      <c r="H18" s="258">
        <v>0</v>
      </c>
      <c r="I18" s="146" t="s">
        <v>69</v>
      </c>
    </row>
    <row r="19" spans="1:9" ht="24" thickBot="1">
      <c r="A19" s="110">
        <f>INT(SUM(A11:A18)+SUM(B11:B18)/100)</f>
        <v>16879250</v>
      </c>
      <c r="B19" s="135">
        <f>MOD(SUM(B11:B18),100)</f>
        <v>0</v>
      </c>
      <c r="C19" s="110">
        <f>INT(SUM(C11:C18)+SUM(D11:D18)/100)</f>
        <v>1041719</v>
      </c>
      <c r="D19" s="111">
        <f>MOD(SUM(D11:D18),100)</f>
        <v>61</v>
      </c>
      <c r="G19" s="94"/>
      <c r="H19" s="110">
        <f>INT(SUM(H11:H18)+SUM(I11:I18)/100)</f>
        <v>1041719</v>
      </c>
      <c r="I19" s="111">
        <f>MOD(SUM(I11:I18),100)</f>
        <v>61</v>
      </c>
    </row>
    <row r="20" spans="1:9" ht="24" thickTop="1">
      <c r="A20" s="109"/>
      <c r="B20" s="100"/>
      <c r="C20" s="105">
        <v>1795000</v>
      </c>
      <c r="D20" s="103" t="s">
        <v>69</v>
      </c>
      <c r="F20" s="100" t="s">
        <v>217</v>
      </c>
      <c r="G20" s="94" t="s">
        <v>213</v>
      </c>
      <c r="H20" s="105">
        <v>1795000</v>
      </c>
      <c r="I20" s="103" t="s">
        <v>69</v>
      </c>
    </row>
    <row r="21" spans="1:9" ht="23.25">
      <c r="A21" s="109"/>
      <c r="B21" s="100"/>
      <c r="C21" s="255">
        <v>0</v>
      </c>
      <c r="D21" s="103" t="s">
        <v>69</v>
      </c>
      <c r="F21" s="100" t="s">
        <v>138</v>
      </c>
      <c r="G21" s="94"/>
      <c r="H21" s="255">
        <v>0</v>
      </c>
      <c r="I21" s="103" t="s">
        <v>69</v>
      </c>
    </row>
    <row r="22" spans="1:9" ht="23.25">
      <c r="A22" s="109"/>
      <c r="B22" s="100"/>
      <c r="C22" s="259">
        <v>3313</v>
      </c>
      <c r="D22" s="106">
        <v>46</v>
      </c>
      <c r="F22" s="100" t="s">
        <v>107</v>
      </c>
      <c r="G22" s="94" t="s">
        <v>187</v>
      </c>
      <c r="H22" s="105">
        <v>3313</v>
      </c>
      <c r="I22" s="106">
        <v>46</v>
      </c>
    </row>
    <row r="23" spans="1:9" ht="23.25">
      <c r="A23" s="109"/>
      <c r="B23" s="100"/>
      <c r="C23" s="255">
        <v>0</v>
      </c>
      <c r="D23" s="103" t="s">
        <v>69</v>
      </c>
      <c r="F23" s="100" t="s">
        <v>41</v>
      </c>
      <c r="G23" s="94" t="s">
        <v>218</v>
      </c>
      <c r="H23" s="255">
        <v>0</v>
      </c>
      <c r="I23" s="103" t="s">
        <v>69</v>
      </c>
    </row>
    <row r="24" spans="1:9" ht="23.25">
      <c r="A24" s="109"/>
      <c r="B24" s="100"/>
      <c r="C24" s="255">
        <v>0</v>
      </c>
      <c r="D24" s="103" t="s">
        <v>69</v>
      </c>
      <c r="F24" s="100" t="s">
        <v>135</v>
      </c>
      <c r="G24" s="94"/>
      <c r="H24" s="255">
        <v>0</v>
      </c>
      <c r="I24" s="103" t="s">
        <v>69</v>
      </c>
    </row>
    <row r="25" spans="1:9" ht="23.25">
      <c r="A25" s="109"/>
      <c r="B25" s="100"/>
      <c r="C25" s="255">
        <v>0</v>
      </c>
      <c r="D25" s="103" t="s">
        <v>69</v>
      </c>
      <c r="F25" s="100" t="s">
        <v>118</v>
      </c>
      <c r="G25" s="94" t="s">
        <v>157</v>
      </c>
      <c r="H25" s="255">
        <v>0</v>
      </c>
      <c r="I25" s="103" t="s">
        <v>69</v>
      </c>
    </row>
    <row r="26" spans="1:9" ht="23.25">
      <c r="A26" s="109"/>
      <c r="B26" s="100"/>
      <c r="C26" s="255">
        <v>0</v>
      </c>
      <c r="D26" s="103" t="s">
        <v>69</v>
      </c>
      <c r="F26" s="100" t="s">
        <v>108</v>
      </c>
      <c r="G26" s="94" t="s">
        <v>220</v>
      </c>
      <c r="H26" s="255">
        <v>0</v>
      </c>
      <c r="I26" s="103" t="s">
        <v>69</v>
      </c>
    </row>
    <row r="27" spans="1:9" ht="23.25">
      <c r="A27" s="109"/>
      <c r="B27" s="100"/>
      <c r="C27" s="255">
        <v>0</v>
      </c>
      <c r="D27" s="103" t="s">
        <v>69</v>
      </c>
      <c r="F27" s="100" t="s">
        <v>136</v>
      </c>
      <c r="G27" s="94" t="s">
        <v>156</v>
      </c>
      <c r="H27" s="255">
        <v>0</v>
      </c>
      <c r="I27" s="103" t="s">
        <v>69</v>
      </c>
    </row>
    <row r="28" spans="1:9" ht="23.25">
      <c r="A28" s="109"/>
      <c r="B28" s="100"/>
      <c r="C28" s="255">
        <v>99990</v>
      </c>
      <c r="D28" s="106">
        <v>93</v>
      </c>
      <c r="F28" s="100" t="s">
        <v>42</v>
      </c>
      <c r="G28" s="94" t="s">
        <v>184</v>
      </c>
      <c r="H28" s="105">
        <v>99990</v>
      </c>
      <c r="I28" s="106">
        <v>93</v>
      </c>
    </row>
    <row r="29" spans="1:9" ht="23.25">
      <c r="A29" s="109"/>
      <c r="B29" s="100"/>
      <c r="C29" s="255">
        <v>16775</v>
      </c>
      <c r="D29" s="106">
        <v>70</v>
      </c>
      <c r="F29" s="109" t="s">
        <v>117</v>
      </c>
      <c r="G29" s="94" t="s">
        <v>219</v>
      </c>
      <c r="H29" s="105">
        <v>16775</v>
      </c>
      <c r="I29" s="103">
        <v>70</v>
      </c>
    </row>
    <row r="30" spans="1:9" ht="24" thickBot="1">
      <c r="A30" s="109"/>
      <c r="B30" s="100"/>
      <c r="C30" s="110">
        <f>INT(SUM(C20:C29)+SUM(D20:D29)/100)</f>
        <v>1915080</v>
      </c>
      <c r="D30" s="111">
        <f>MOD(SUM(D20:D29),100)</f>
        <v>9</v>
      </c>
      <c r="G30" s="94"/>
      <c r="H30" s="110">
        <f>INT(SUM(H20:H29)+SUM(I20:I29)/100)</f>
        <v>1915080</v>
      </c>
      <c r="I30" s="111">
        <f>MOD(SUM(I20:I29),100)</f>
        <v>9</v>
      </c>
    </row>
    <row r="31" spans="1:9" ht="24.75" thickBot="1" thickTop="1">
      <c r="A31" s="109"/>
      <c r="B31" s="100"/>
      <c r="C31" s="110">
        <f>INT(SUM(C19,C30)+SUM(D19,D30)/100)</f>
        <v>2956799</v>
      </c>
      <c r="D31" s="111">
        <f>MOD(SUM(D19,D30),100)</f>
        <v>70</v>
      </c>
      <c r="E31" s="335" t="s">
        <v>43</v>
      </c>
      <c r="F31" s="337"/>
      <c r="G31" s="95"/>
      <c r="H31" s="110">
        <f>INT(SUM(H19,H30)+SUM(I19,I30)/100)</f>
        <v>2956799</v>
      </c>
      <c r="I31" s="111">
        <f>MOD(SUM(I19,I30),100)</f>
        <v>70</v>
      </c>
    </row>
    <row r="32" spans="1:9" ht="24" thickTop="1">
      <c r="A32" s="109"/>
      <c r="B32" s="109"/>
      <c r="C32" s="112"/>
      <c r="D32" s="139"/>
      <c r="E32" s="93"/>
      <c r="F32" s="93"/>
      <c r="G32" s="117"/>
      <c r="H32" s="112"/>
      <c r="I32" s="139"/>
    </row>
    <row r="33" spans="1:9" ht="23.25">
      <c r="A33" s="109"/>
      <c r="B33" s="109"/>
      <c r="C33" s="112"/>
      <c r="D33" s="139"/>
      <c r="E33" s="93"/>
      <c r="F33" s="93"/>
      <c r="G33" s="117"/>
      <c r="H33" s="112"/>
      <c r="I33" s="139"/>
    </row>
    <row r="34" spans="1:9" ht="23.25">
      <c r="A34" s="109"/>
      <c r="B34" s="109"/>
      <c r="C34" s="112"/>
      <c r="D34" s="139"/>
      <c r="E34" s="93"/>
      <c r="F34" s="93"/>
      <c r="G34" s="117"/>
      <c r="H34" s="112"/>
      <c r="I34" s="139"/>
    </row>
    <row r="35" spans="1:9" ht="23.25">
      <c r="A35" s="109"/>
      <c r="B35" s="109"/>
      <c r="C35" s="112"/>
      <c r="D35" s="139"/>
      <c r="E35" s="93"/>
      <c r="F35" s="93"/>
      <c r="G35" s="117"/>
      <c r="H35" s="112"/>
      <c r="I35" s="139"/>
    </row>
    <row r="36" spans="1:9" ht="23.25">
      <c r="A36" s="109"/>
      <c r="B36" s="109"/>
      <c r="C36" s="112"/>
      <c r="D36" s="139"/>
      <c r="E36" s="93"/>
      <c r="F36" s="93"/>
      <c r="G36" s="117"/>
      <c r="H36" s="112"/>
      <c r="I36" s="139"/>
    </row>
    <row r="37" spans="1:9" ht="23.25">
      <c r="A37" s="109"/>
      <c r="B37" s="109"/>
      <c r="C37" s="112"/>
      <c r="D37" s="139"/>
      <c r="E37" s="93"/>
      <c r="F37" s="93"/>
      <c r="G37" s="117"/>
      <c r="H37" s="112"/>
      <c r="I37" s="139"/>
    </row>
    <row r="38" spans="1:9" ht="23.25">
      <c r="A38" s="109"/>
      <c r="B38" s="109"/>
      <c r="C38" s="112"/>
      <c r="D38" s="139"/>
      <c r="E38" s="93"/>
      <c r="F38" s="93"/>
      <c r="G38" s="117"/>
      <c r="H38" s="112"/>
      <c r="I38" s="139"/>
    </row>
    <row r="39" spans="1:9" ht="23.25">
      <c r="A39" s="109"/>
      <c r="B39" s="109"/>
      <c r="C39" s="112"/>
      <c r="D39" s="127"/>
      <c r="E39" s="93"/>
      <c r="F39" s="93"/>
      <c r="G39" s="117"/>
      <c r="H39" s="112"/>
      <c r="I39" s="127"/>
    </row>
    <row r="40" spans="5:14" ht="23.25">
      <c r="E40" s="93"/>
      <c r="F40" s="93"/>
      <c r="G40" s="117"/>
      <c r="H40" s="112"/>
      <c r="I40" s="127"/>
      <c r="K40" s="210" t="s">
        <v>204</v>
      </c>
      <c r="L40" s="109"/>
      <c r="M40" s="112"/>
      <c r="N40" s="127"/>
    </row>
    <row r="41" spans="5:14" ht="23.25">
      <c r="E41" s="93"/>
      <c r="F41" s="93"/>
      <c r="G41" s="117"/>
      <c r="H41" s="112"/>
      <c r="I41" s="127"/>
      <c r="K41" s="210" t="s">
        <v>142</v>
      </c>
      <c r="L41" s="109"/>
      <c r="M41" s="211">
        <f>1041319.61-412493.02</f>
        <v>628826.59</v>
      </c>
      <c r="N41" s="212"/>
    </row>
    <row r="42" spans="5:14" ht="23.25">
      <c r="E42" s="93"/>
      <c r="F42" s="93"/>
      <c r="G42" s="117"/>
      <c r="H42" s="112"/>
      <c r="I42" s="127"/>
      <c r="K42" s="210" t="s">
        <v>39</v>
      </c>
      <c r="L42" s="109"/>
      <c r="M42" s="211">
        <f>-17400</f>
        <v>-17400</v>
      </c>
      <c r="N42" s="212"/>
    </row>
    <row r="43" spans="1:9" ht="23.25">
      <c r="A43" s="161"/>
      <c r="B43" s="109"/>
      <c r="C43" s="162"/>
      <c r="D43" s="163"/>
      <c r="E43" s="93"/>
      <c r="F43" s="93"/>
      <c r="G43" s="117"/>
      <c r="H43" s="112"/>
      <c r="I43" s="127"/>
    </row>
    <row r="44" spans="1:9" ht="23.25">
      <c r="A44" s="161"/>
      <c r="B44" s="109"/>
      <c r="C44" s="162"/>
      <c r="D44" s="163"/>
      <c r="E44" s="93"/>
      <c r="F44" s="93"/>
      <c r="G44" s="117"/>
      <c r="H44" s="112"/>
      <c r="I44" s="127"/>
    </row>
    <row r="45" spans="1:9" ht="23.25">
      <c r="A45" s="347" t="s">
        <v>74</v>
      </c>
      <c r="B45" s="347"/>
      <c r="C45" s="347"/>
      <c r="D45" s="347"/>
      <c r="E45" s="347"/>
      <c r="F45" s="347"/>
      <c r="G45" s="347"/>
      <c r="H45" s="347"/>
      <c r="I45" s="347"/>
    </row>
    <row r="46" spans="1:9" ht="23.25">
      <c r="A46" s="343" t="s">
        <v>23</v>
      </c>
      <c r="B46" s="344"/>
      <c r="C46" s="344"/>
      <c r="D46" s="345"/>
      <c r="E46" s="341"/>
      <c r="F46" s="346"/>
      <c r="G46" s="92"/>
      <c r="H46" s="343" t="s">
        <v>24</v>
      </c>
      <c r="I46" s="345"/>
    </row>
    <row r="47" spans="1:9" ht="23.25">
      <c r="A47" s="341" t="s">
        <v>25</v>
      </c>
      <c r="B47" s="342"/>
      <c r="C47" s="341" t="s">
        <v>26</v>
      </c>
      <c r="D47" s="342"/>
      <c r="E47" s="335" t="s">
        <v>27</v>
      </c>
      <c r="F47" s="336"/>
      <c r="G47" s="94" t="s">
        <v>28</v>
      </c>
      <c r="H47" s="335" t="s">
        <v>26</v>
      </c>
      <c r="I47" s="337"/>
    </row>
    <row r="48" spans="1:9" ht="21" customHeight="1">
      <c r="A48" s="338" t="s">
        <v>29</v>
      </c>
      <c r="B48" s="339"/>
      <c r="C48" s="338" t="s">
        <v>29</v>
      </c>
      <c r="D48" s="339"/>
      <c r="E48" s="338"/>
      <c r="F48" s="340"/>
      <c r="G48" s="95" t="s">
        <v>30</v>
      </c>
      <c r="H48" s="338" t="s">
        <v>29</v>
      </c>
      <c r="I48" s="339"/>
    </row>
    <row r="49" spans="1:14" ht="23.25">
      <c r="A49" s="96"/>
      <c r="B49" s="97"/>
      <c r="C49" s="98"/>
      <c r="D49" s="97"/>
      <c r="E49" s="99" t="s">
        <v>44</v>
      </c>
      <c r="F49" s="100"/>
      <c r="G49" s="94"/>
      <c r="H49" s="144"/>
      <c r="I49" s="101"/>
      <c r="K49" s="253" t="s">
        <v>25</v>
      </c>
      <c r="L49" s="253" t="s">
        <v>142</v>
      </c>
      <c r="M49" s="253" t="s">
        <v>25</v>
      </c>
      <c r="N49" s="253" t="s">
        <v>39</v>
      </c>
    </row>
    <row r="50" spans="1:13" ht="22.5" customHeight="1">
      <c r="A50" s="102">
        <f aca="true" t="shared" si="0" ref="A50:A60">K50+M50</f>
        <v>2646958</v>
      </c>
      <c r="B50" s="103" t="s">
        <v>69</v>
      </c>
      <c r="C50" s="255">
        <v>0</v>
      </c>
      <c r="D50" s="103" t="s">
        <v>69</v>
      </c>
      <c r="E50" s="99"/>
      <c r="F50" s="100" t="s">
        <v>45</v>
      </c>
      <c r="G50" s="94" t="s">
        <v>214</v>
      </c>
      <c r="H50" s="255">
        <f aca="true" t="shared" si="1" ref="H50:H55">L50+N50</f>
        <v>0</v>
      </c>
      <c r="I50" s="103" t="s">
        <v>69</v>
      </c>
      <c r="K50" s="213">
        <v>885678</v>
      </c>
      <c r="M50" s="213">
        <v>1761280</v>
      </c>
    </row>
    <row r="51" spans="1:13" ht="22.5" customHeight="1">
      <c r="A51" s="102">
        <f t="shared" si="0"/>
        <v>1410960</v>
      </c>
      <c r="B51" s="103" t="s">
        <v>69</v>
      </c>
      <c r="C51" s="104">
        <v>112250</v>
      </c>
      <c r="D51" s="106" t="s">
        <v>69</v>
      </c>
      <c r="E51" s="98"/>
      <c r="F51" s="100" t="s">
        <v>251</v>
      </c>
      <c r="G51" s="94" t="s">
        <v>253</v>
      </c>
      <c r="H51" s="105">
        <f t="shared" si="1"/>
        <v>112250</v>
      </c>
      <c r="I51" s="103" t="s">
        <v>69</v>
      </c>
      <c r="K51" s="213">
        <f>1415400-4440</f>
        <v>1410960</v>
      </c>
      <c r="L51" s="213">
        <v>112250</v>
      </c>
      <c r="M51" s="213">
        <v>0</v>
      </c>
    </row>
    <row r="52" spans="1:14" ht="22.5" customHeight="1">
      <c r="A52" s="102">
        <f t="shared" si="0"/>
        <v>3495780</v>
      </c>
      <c r="B52" s="103" t="s">
        <v>69</v>
      </c>
      <c r="C52" s="105">
        <v>240000</v>
      </c>
      <c r="D52" s="103" t="s">
        <v>69</v>
      </c>
      <c r="E52" s="98"/>
      <c r="F52" s="100" t="s">
        <v>252</v>
      </c>
      <c r="G52" s="94" t="s">
        <v>254</v>
      </c>
      <c r="H52" s="105">
        <f t="shared" si="1"/>
        <v>240000</v>
      </c>
      <c r="I52" s="103" t="s">
        <v>69</v>
      </c>
      <c r="K52" s="213">
        <f>3290940+3600+240+5280-1080</f>
        <v>3298980</v>
      </c>
      <c r="L52" s="213">
        <v>223600</v>
      </c>
      <c r="M52" s="213">
        <v>196800</v>
      </c>
      <c r="N52" s="213">
        <v>16400</v>
      </c>
    </row>
    <row r="53" spans="1:13" ht="22.5" customHeight="1">
      <c r="A53" s="102">
        <f t="shared" si="0"/>
        <v>1160420</v>
      </c>
      <c r="B53" s="103" t="s">
        <v>69</v>
      </c>
      <c r="C53" s="104">
        <v>2175</v>
      </c>
      <c r="D53" s="106" t="s">
        <v>69</v>
      </c>
      <c r="E53" s="98"/>
      <c r="F53" s="100" t="s">
        <v>46</v>
      </c>
      <c r="G53" s="94" t="s">
        <v>179</v>
      </c>
      <c r="H53" s="105">
        <f t="shared" si="1"/>
        <v>2175</v>
      </c>
      <c r="I53" s="103" t="s">
        <v>69</v>
      </c>
      <c r="K53" s="213">
        <f>1056860-3600-16800</f>
        <v>1036460</v>
      </c>
      <c r="L53" s="213">
        <v>2175</v>
      </c>
      <c r="M53" s="213">
        <v>123960</v>
      </c>
    </row>
    <row r="54" spans="1:14" ht="22.5" customHeight="1">
      <c r="A54" s="102">
        <f t="shared" si="0"/>
        <v>1849410</v>
      </c>
      <c r="B54" s="103" t="s">
        <v>69</v>
      </c>
      <c r="C54" s="104">
        <v>13560</v>
      </c>
      <c r="D54" s="106" t="s">
        <v>69</v>
      </c>
      <c r="E54" s="98"/>
      <c r="F54" s="100" t="s">
        <v>47</v>
      </c>
      <c r="G54" s="94" t="s">
        <v>180</v>
      </c>
      <c r="H54" s="105">
        <f t="shared" si="1"/>
        <v>13560</v>
      </c>
      <c r="I54" s="103" t="s">
        <v>69</v>
      </c>
      <c r="K54" s="213">
        <f>967190+8400+8400</f>
        <v>983990</v>
      </c>
      <c r="L54" s="213">
        <v>12560</v>
      </c>
      <c r="M54" s="213">
        <v>865420</v>
      </c>
      <c r="N54" s="213">
        <v>1000</v>
      </c>
    </row>
    <row r="55" spans="1:13" ht="22.5" customHeight="1">
      <c r="A55" s="102">
        <f t="shared" si="0"/>
        <v>1824472</v>
      </c>
      <c r="B55" s="103" t="s">
        <v>69</v>
      </c>
      <c r="C55" s="105">
        <v>41210</v>
      </c>
      <c r="D55" s="106" t="s">
        <v>69</v>
      </c>
      <c r="E55" s="98"/>
      <c r="F55" s="100" t="s">
        <v>48</v>
      </c>
      <c r="G55" s="94" t="s">
        <v>181</v>
      </c>
      <c r="H55" s="105">
        <f t="shared" si="1"/>
        <v>41210</v>
      </c>
      <c r="I55" s="103" t="s">
        <v>69</v>
      </c>
      <c r="K55" s="213">
        <v>711232</v>
      </c>
      <c r="L55" s="213">
        <v>41210</v>
      </c>
      <c r="M55" s="213">
        <v>1113240</v>
      </c>
    </row>
    <row r="56" spans="1:13" ht="22.5" customHeight="1">
      <c r="A56" s="102">
        <f t="shared" si="0"/>
        <v>350800</v>
      </c>
      <c r="B56" s="103" t="s">
        <v>69</v>
      </c>
      <c r="C56" s="104">
        <v>20698</v>
      </c>
      <c r="D56" s="106">
        <v>2</v>
      </c>
      <c r="E56" s="98"/>
      <c r="F56" s="100" t="s">
        <v>66</v>
      </c>
      <c r="G56" s="94" t="s">
        <v>182</v>
      </c>
      <c r="H56" s="105">
        <v>20698</v>
      </c>
      <c r="I56" s="106">
        <v>2</v>
      </c>
      <c r="K56" s="213">
        <v>350800</v>
      </c>
      <c r="L56" s="213">
        <v>20698.02</v>
      </c>
      <c r="M56" s="213">
        <v>0</v>
      </c>
    </row>
    <row r="57" spans="1:13" ht="22.5" customHeight="1">
      <c r="A57" s="102">
        <f t="shared" si="0"/>
        <v>516750</v>
      </c>
      <c r="B57" s="103" t="s">
        <v>69</v>
      </c>
      <c r="C57" s="255">
        <v>0</v>
      </c>
      <c r="D57" s="103" t="s">
        <v>69</v>
      </c>
      <c r="E57" s="98"/>
      <c r="F57" s="100" t="s">
        <v>49</v>
      </c>
      <c r="G57" s="107">
        <v>541000</v>
      </c>
      <c r="H57" s="255">
        <f>L57+N57</f>
        <v>0</v>
      </c>
      <c r="I57" s="103" t="s">
        <v>69</v>
      </c>
      <c r="K57" s="213">
        <v>143200</v>
      </c>
      <c r="M57" s="213">
        <v>373550</v>
      </c>
    </row>
    <row r="58" spans="1:13" ht="22.5" customHeight="1">
      <c r="A58" s="102">
        <f t="shared" si="0"/>
        <v>2179300</v>
      </c>
      <c r="B58" s="103" t="s">
        <v>69</v>
      </c>
      <c r="C58" s="255">
        <v>0</v>
      </c>
      <c r="D58" s="103" t="s">
        <v>69</v>
      </c>
      <c r="E58" s="98"/>
      <c r="F58" s="100" t="s">
        <v>50</v>
      </c>
      <c r="G58" s="94" t="s">
        <v>183</v>
      </c>
      <c r="H58" s="255">
        <f>L58+N58</f>
        <v>0</v>
      </c>
      <c r="I58" s="103" t="s">
        <v>69</v>
      </c>
      <c r="K58" s="213">
        <v>0</v>
      </c>
      <c r="M58" s="213">
        <v>2179300</v>
      </c>
    </row>
    <row r="59" spans="1:13" ht="22.5" customHeight="1">
      <c r="A59" s="102">
        <f t="shared" si="0"/>
        <v>1195400</v>
      </c>
      <c r="B59" s="103" t="s">
        <v>69</v>
      </c>
      <c r="C59" s="259">
        <v>0</v>
      </c>
      <c r="D59" s="106" t="s">
        <v>69</v>
      </c>
      <c r="E59" s="98"/>
      <c r="F59" s="100" t="s">
        <v>39</v>
      </c>
      <c r="G59" s="94" t="s">
        <v>215</v>
      </c>
      <c r="H59" s="255">
        <f>L59+N59</f>
        <v>0</v>
      </c>
      <c r="I59" s="106" t="s">
        <v>69</v>
      </c>
      <c r="K59" s="213">
        <v>0</v>
      </c>
      <c r="M59" s="213">
        <v>1195400</v>
      </c>
    </row>
    <row r="60" spans="1:13" ht="22.5" customHeight="1">
      <c r="A60" s="102">
        <f t="shared" si="0"/>
        <v>249000</v>
      </c>
      <c r="B60" s="108" t="s">
        <v>69</v>
      </c>
      <c r="C60" s="255">
        <v>0</v>
      </c>
      <c r="D60" s="103" t="s">
        <v>69</v>
      </c>
      <c r="E60" s="98"/>
      <c r="F60" s="109" t="s">
        <v>68</v>
      </c>
      <c r="G60" s="94" t="s">
        <v>216</v>
      </c>
      <c r="H60" s="255">
        <f>L60+N60</f>
        <v>0</v>
      </c>
      <c r="I60" s="103" t="s">
        <v>69</v>
      </c>
      <c r="M60" s="213">
        <v>249000</v>
      </c>
    </row>
    <row r="61" spans="1:14" ht="22.5" customHeight="1" thickBot="1">
      <c r="A61" s="110">
        <f>INT(SUM(A50:A60)+SUM(B50:B60)/100)</f>
        <v>16879250</v>
      </c>
      <c r="B61" s="148">
        <f>MOD(SUM(B50:B60),100)</f>
        <v>0</v>
      </c>
      <c r="C61" s="110">
        <f>INT(SUM(C50:C60)+SUM(D50:D60)/100)</f>
        <v>429893</v>
      </c>
      <c r="D61" s="111">
        <f>MOD(SUM(D50:D60),100)</f>
        <v>2</v>
      </c>
      <c r="E61" s="98"/>
      <c r="G61" s="94"/>
      <c r="H61" s="110">
        <f>INT(SUM(H50:H60)+SUM(I50:I60)/100)</f>
        <v>429893</v>
      </c>
      <c r="I61" s="111">
        <f>MOD(SUM(I48:I60),100)</f>
        <v>2</v>
      </c>
      <c r="K61" s="213">
        <f>SUM(K50:K60)</f>
        <v>8821300</v>
      </c>
      <c r="L61" s="213">
        <f>SUM(L50:L60)</f>
        <v>412493.02</v>
      </c>
      <c r="M61" s="213">
        <f>SUM(M50:M60)</f>
        <v>8057950</v>
      </c>
      <c r="N61" s="213">
        <f>SUM(N50:N60)</f>
        <v>17400</v>
      </c>
    </row>
    <row r="62" spans="1:9" ht="22.5" customHeight="1" thickTop="1">
      <c r="A62" s="112"/>
      <c r="B62" s="113"/>
      <c r="C62" s="114">
        <v>1795000</v>
      </c>
      <c r="D62" s="113" t="s">
        <v>69</v>
      </c>
      <c r="E62" s="109"/>
      <c r="F62" s="100" t="s">
        <v>217</v>
      </c>
      <c r="G62" s="94" t="s">
        <v>213</v>
      </c>
      <c r="H62" s="254">
        <v>1795000</v>
      </c>
      <c r="I62" s="115" t="s">
        <v>69</v>
      </c>
    </row>
    <row r="63" spans="1:9" ht="22.5" customHeight="1">
      <c r="A63" s="109"/>
      <c r="B63" s="109"/>
      <c r="C63" s="114">
        <v>603540</v>
      </c>
      <c r="D63" s="103" t="s">
        <v>69</v>
      </c>
      <c r="E63" s="98"/>
      <c r="F63" s="100" t="s">
        <v>108</v>
      </c>
      <c r="G63" s="94" t="s">
        <v>220</v>
      </c>
      <c r="H63" s="105">
        <v>603540</v>
      </c>
      <c r="I63" s="103" t="s">
        <v>69</v>
      </c>
    </row>
    <row r="64" spans="1:9" ht="22.5" customHeight="1">
      <c r="A64" s="109"/>
      <c r="B64" s="109"/>
      <c r="C64" s="260">
        <v>0</v>
      </c>
      <c r="D64" s="103" t="s">
        <v>69</v>
      </c>
      <c r="E64" s="98"/>
      <c r="F64" s="100" t="s">
        <v>42</v>
      </c>
      <c r="G64" s="94" t="s">
        <v>184</v>
      </c>
      <c r="H64" s="255">
        <v>0</v>
      </c>
      <c r="I64" s="103" t="s">
        <v>69</v>
      </c>
    </row>
    <row r="65" spans="1:9" ht="22.5" customHeight="1">
      <c r="A65" s="109"/>
      <c r="B65" s="109"/>
      <c r="C65" s="114">
        <v>4338</v>
      </c>
      <c r="D65" s="106">
        <v>43</v>
      </c>
      <c r="E65" s="98"/>
      <c r="F65" s="100" t="s">
        <v>137</v>
      </c>
      <c r="G65" s="94" t="s">
        <v>187</v>
      </c>
      <c r="H65" s="105">
        <v>4338</v>
      </c>
      <c r="I65" s="106">
        <v>43</v>
      </c>
    </row>
    <row r="66" spans="1:9" ht="22.5" customHeight="1">
      <c r="A66" s="109"/>
      <c r="B66" s="109"/>
      <c r="C66" s="114">
        <v>283838</v>
      </c>
      <c r="D66" s="103">
        <v>18</v>
      </c>
      <c r="E66" s="98"/>
      <c r="F66" s="100" t="s">
        <v>118</v>
      </c>
      <c r="G66" s="94" t="s">
        <v>157</v>
      </c>
      <c r="H66" s="105">
        <v>283838</v>
      </c>
      <c r="I66" s="103">
        <v>18</v>
      </c>
    </row>
    <row r="67" spans="1:9" ht="22.5" customHeight="1">
      <c r="A67" s="109"/>
      <c r="B67" s="109"/>
      <c r="C67" s="114">
        <v>16775</v>
      </c>
      <c r="D67" s="103">
        <v>70</v>
      </c>
      <c r="E67" s="98"/>
      <c r="F67" s="109" t="s">
        <v>117</v>
      </c>
      <c r="G67" s="94" t="s">
        <v>219</v>
      </c>
      <c r="H67" s="105">
        <v>16775</v>
      </c>
      <c r="I67" s="103">
        <v>70</v>
      </c>
    </row>
    <row r="68" spans="1:9" ht="22.5" customHeight="1">
      <c r="A68" s="109"/>
      <c r="B68" s="109"/>
      <c r="C68" s="260">
        <v>0</v>
      </c>
      <c r="D68" s="103" t="s">
        <v>69</v>
      </c>
      <c r="E68" s="98"/>
      <c r="F68" s="109" t="s">
        <v>51</v>
      </c>
      <c r="G68" s="94" t="s">
        <v>218</v>
      </c>
      <c r="H68" s="255">
        <v>0</v>
      </c>
      <c r="I68" s="103" t="s">
        <v>69</v>
      </c>
    </row>
    <row r="69" spans="1:9" ht="22.5" customHeight="1">
      <c r="A69" s="109"/>
      <c r="B69" s="109"/>
      <c r="C69" s="260">
        <v>0</v>
      </c>
      <c r="D69" s="106" t="s">
        <v>69</v>
      </c>
      <c r="E69" s="109"/>
      <c r="F69" s="109" t="s">
        <v>132</v>
      </c>
      <c r="G69" s="95"/>
      <c r="H69" s="255">
        <v>0</v>
      </c>
      <c r="I69" s="103" t="s">
        <v>69</v>
      </c>
    </row>
    <row r="70" spans="1:9" ht="22.5" customHeight="1" thickBot="1">
      <c r="A70" s="109"/>
      <c r="B70" s="100"/>
      <c r="C70" s="110">
        <f>INT(SUM(C62:C69)+SUM(D62:D69)/100)</f>
        <v>2703492</v>
      </c>
      <c r="D70" s="111">
        <f>MOD(SUM(D62:D69),100)</f>
        <v>31</v>
      </c>
      <c r="H70" s="110">
        <f>INT(SUM(H62:H69)+SUM(I62:I69)/100)</f>
        <v>2703492</v>
      </c>
      <c r="I70" s="111">
        <f>MOD(SUM(I62:I69),100)</f>
        <v>31</v>
      </c>
    </row>
    <row r="71" spans="1:9" ht="22.5" customHeight="1" thickBot="1" thickTop="1">
      <c r="A71" s="109"/>
      <c r="B71" s="100"/>
      <c r="C71" s="110">
        <f>INT(SUM(C61,C70)+SUM(D61,D70)/100)</f>
        <v>3133385</v>
      </c>
      <c r="D71" s="111">
        <f>MOD(SUM(D61,D70),100)</f>
        <v>33</v>
      </c>
      <c r="E71" s="335" t="s">
        <v>52</v>
      </c>
      <c r="F71" s="336"/>
      <c r="G71" s="337"/>
      <c r="H71" s="110">
        <f>INT(SUM(H61,H70)+SUM(I61,I70)/100)</f>
        <v>3133385</v>
      </c>
      <c r="I71" s="111">
        <f>MOD(SUM(I61,I70),100)</f>
        <v>33</v>
      </c>
    </row>
    <row r="72" spans="1:9" ht="22.5" customHeight="1" thickTop="1">
      <c r="A72" s="109"/>
      <c r="B72" s="100"/>
      <c r="C72" s="119"/>
      <c r="D72" s="120"/>
      <c r="E72" s="335" t="s">
        <v>53</v>
      </c>
      <c r="F72" s="336"/>
      <c r="G72" s="337"/>
      <c r="H72" s="104"/>
      <c r="I72" s="120"/>
    </row>
    <row r="73" spans="1:9" ht="23.25">
      <c r="A73" s="109"/>
      <c r="B73" s="100"/>
      <c r="C73" s="121"/>
      <c r="D73" s="103"/>
      <c r="E73" s="335" t="s">
        <v>54</v>
      </c>
      <c r="F73" s="336"/>
      <c r="G73" s="337"/>
      <c r="H73" s="121"/>
      <c r="I73" s="122"/>
    </row>
    <row r="74" spans="3:9" ht="23.25">
      <c r="C74" s="123">
        <v>176585</v>
      </c>
      <c r="D74" s="146">
        <v>63</v>
      </c>
      <c r="E74" s="335" t="s">
        <v>55</v>
      </c>
      <c r="F74" s="336"/>
      <c r="G74" s="337"/>
      <c r="H74" s="124">
        <v>176585</v>
      </c>
      <c r="I74" s="106">
        <v>63</v>
      </c>
    </row>
    <row r="75" spans="2:9" ht="22.5" customHeight="1">
      <c r="B75" s="71"/>
      <c r="C75" s="125">
        <v>4660877</v>
      </c>
      <c r="D75" s="126">
        <v>56</v>
      </c>
      <c r="E75" s="335" t="s">
        <v>56</v>
      </c>
      <c r="F75" s="336"/>
      <c r="G75" s="337"/>
      <c r="H75" s="125">
        <v>4660877</v>
      </c>
      <c r="I75" s="126">
        <v>56</v>
      </c>
    </row>
    <row r="76" spans="2:9" ht="22.5" customHeight="1">
      <c r="B76" s="71"/>
      <c r="C76" s="112"/>
      <c r="D76" s="139"/>
      <c r="E76" s="93"/>
      <c r="F76" s="93"/>
      <c r="G76" s="93"/>
      <c r="H76" s="112"/>
      <c r="I76" s="139"/>
    </row>
    <row r="77" spans="2:9" ht="22.5" customHeight="1">
      <c r="B77" s="71"/>
      <c r="C77" s="112"/>
      <c r="D77" s="139"/>
      <c r="E77" s="93"/>
      <c r="F77" s="93"/>
      <c r="G77" s="93"/>
      <c r="H77" s="112"/>
      <c r="I77" s="139"/>
    </row>
    <row r="78" spans="2:9" ht="20.25" customHeight="1">
      <c r="B78" s="71"/>
      <c r="C78" s="112"/>
      <c r="D78" s="139"/>
      <c r="E78" s="93"/>
      <c r="F78" s="93"/>
      <c r="G78" s="93"/>
      <c r="H78" s="112"/>
      <c r="I78" s="139"/>
    </row>
    <row r="79" spans="1:9" ht="23.25">
      <c r="A79" s="147" t="s">
        <v>119</v>
      </c>
      <c r="B79" s="147"/>
      <c r="C79" s="147"/>
      <c r="D79" s="147" t="s">
        <v>125</v>
      </c>
      <c r="E79" s="147"/>
      <c r="G79" s="147"/>
      <c r="H79" s="147"/>
      <c r="I79" s="147"/>
    </row>
    <row r="80" spans="1:9" ht="23.25">
      <c r="A80" s="147" t="s">
        <v>127</v>
      </c>
      <c r="B80" s="147"/>
      <c r="C80" s="147"/>
      <c r="D80" s="147" t="s">
        <v>126</v>
      </c>
      <c r="E80" s="147"/>
      <c r="G80" s="147"/>
      <c r="H80" s="147"/>
      <c r="I80" s="147"/>
    </row>
    <row r="81" spans="1:9" ht="23.25">
      <c r="A81" s="147" t="s">
        <v>128</v>
      </c>
      <c r="B81" s="147"/>
      <c r="C81" s="147"/>
      <c r="D81" s="147" t="s">
        <v>129</v>
      </c>
      <c r="E81" s="147"/>
      <c r="G81" s="147"/>
      <c r="H81" s="147"/>
      <c r="I81" s="147"/>
    </row>
    <row r="82" spans="6:7" ht="23.25">
      <c r="F82" s="351"/>
      <c r="G82" s="351"/>
    </row>
  </sheetData>
  <mergeCells count="34">
    <mergeCell ref="F82:G82"/>
    <mergeCell ref="A1:I1"/>
    <mergeCell ref="A2:I2"/>
    <mergeCell ref="A4:I4"/>
    <mergeCell ref="A6:D6"/>
    <mergeCell ref="E6:F6"/>
    <mergeCell ref="H6:I6"/>
    <mergeCell ref="A7:B7"/>
    <mergeCell ref="C7:D7"/>
    <mergeCell ref="E7:F7"/>
    <mergeCell ref="A8:B8"/>
    <mergeCell ref="C8:D8"/>
    <mergeCell ref="E8:F8"/>
    <mergeCell ref="H8:I8"/>
    <mergeCell ref="A46:D46"/>
    <mergeCell ref="E46:F46"/>
    <mergeCell ref="H46:I46"/>
    <mergeCell ref="A45:I45"/>
    <mergeCell ref="A47:B47"/>
    <mergeCell ref="C47:D47"/>
    <mergeCell ref="E47:F47"/>
    <mergeCell ref="H47:I47"/>
    <mergeCell ref="A48:B48"/>
    <mergeCell ref="C48:D48"/>
    <mergeCell ref="E48:F48"/>
    <mergeCell ref="H48:I48"/>
    <mergeCell ref="F5:H5"/>
    <mergeCell ref="E75:G75"/>
    <mergeCell ref="E71:G71"/>
    <mergeCell ref="E72:G72"/>
    <mergeCell ref="E73:G73"/>
    <mergeCell ref="E74:G74"/>
    <mergeCell ref="E31:F31"/>
    <mergeCell ref="H7:I7"/>
  </mergeCells>
  <printOptions/>
  <pageMargins left="0.826771653543307" right="0.236220472440945" top="0" bottom="0" header="0.236220472440945" footer="0.23622047244094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workbookViewId="0" topLeftCell="A1">
      <selection activeCell="E6" sqref="E6"/>
    </sheetView>
  </sheetViews>
  <sheetFormatPr defaultColWidth="9.140625" defaultRowHeight="21.75"/>
  <cols>
    <col min="1" max="1" width="4.28125" style="71" customWidth="1"/>
    <col min="2" max="4" width="9.140625" style="71" customWidth="1"/>
    <col min="5" max="5" width="19.28125" style="71" customWidth="1"/>
    <col min="6" max="6" width="15.421875" style="71" customWidth="1"/>
    <col min="7" max="7" width="4.00390625" style="71" customWidth="1"/>
    <col min="8" max="8" width="15.421875" style="145" customWidth="1"/>
    <col min="9" max="9" width="9.140625" style="71" customWidth="1"/>
    <col min="10" max="10" width="4.28125" style="71" customWidth="1"/>
    <col min="11" max="16384" width="9.140625" style="71" customWidth="1"/>
  </cols>
  <sheetData>
    <row r="1" spans="1:9" ht="23.25">
      <c r="A1" s="360" t="s">
        <v>221</v>
      </c>
      <c r="B1" s="360"/>
      <c r="C1" s="360"/>
      <c r="D1" s="360"/>
      <c r="E1" s="360"/>
      <c r="F1" s="360"/>
      <c r="G1" s="360"/>
      <c r="H1" s="360"/>
      <c r="I1" s="360"/>
    </row>
    <row r="2" spans="1:9" ht="23.25">
      <c r="A2" s="360" t="s">
        <v>222</v>
      </c>
      <c r="B2" s="360"/>
      <c r="C2" s="360"/>
      <c r="D2" s="360"/>
      <c r="E2" s="360"/>
      <c r="F2" s="360"/>
      <c r="G2" s="360"/>
      <c r="H2" s="360"/>
      <c r="I2" s="360"/>
    </row>
    <row r="3" spans="1:9" ht="23.25">
      <c r="A3" s="360" t="s">
        <v>238</v>
      </c>
      <c r="B3" s="360"/>
      <c r="C3" s="360"/>
      <c r="D3" s="360"/>
      <c r="E3" s="360"/>
      <c r="F3" s="360"/>
      <c r="G3" s="360"/>
      <c r="H3" s="360"/>
      <c r="I3" s="360"/>
    </row>
    <row r="4" spans="1:9" ht="23.25">
      <c r="A4" s="88"/>
      <c r="B4" s="88"/>
      <c r="C4" s="88"/>
      <c r="D4" s="88"/>
      <c r="E4" s="88"/>
      <c r="F4" s="88" t="s">
        <v>24</v>
      </c>
      <c r="G4" s="88"/>
      <c r="H4" s="88" t="s">
        <v>174</v>
      </c>
      <c r="I4" s="88"/>
    </row>
    <row r="5" ht="23.25">
      <c r="A5" s="91" t="s">
        <v>223</v>
      </c>
    </row>
    <row r="6" spans="2:9" ht="23.25">
      <c r="B6" s="71" t="s">
        <v>224</v>
      </c>
      <c r="F6" s="145">
        <v>1041719.61</v>
      </c>
      <c r="G6" s="145"/>
      <c r="H6" s="145">
        <v>1041719.61</v>
      </c>
      <c r="I6" s="261" t="s">
        <v>29</v>
      </c>
    </row>
    <row r="7" spans="2:9" ht="23.25">
      <c r="B7" s="71" t="s">
        <v>239</v>
      </c>
      <c r="F7" s="145">
        <v>1795000</v>
      </c>
      <c r="G7" s="145"/>
      <c r="H7" s="145">
        <v>1795000</v>
      </c>
      <c r="I7" s="261" t="s">
        <v>29</v>
      </c>
    </row>
    <row r="8" spans="2:9" ht="23.25">
      <c r="B8" s="71" t="s">
        <v>225</v>
      </c>
      <c r="F8" s="145">
        <v>3313.46</v>
      </c>
      <c r="G8" s="145"/>
      <c r="H8" s="145">
        <v>3313.46</v>
      </c>
      <c r="I8" s="261" t="s">
        <v>29</v>
      </c>
    </row>
    <row r="9" spans="2:9" ht="23.25">
      <c r="B9" s="71" t="s">
        <v>226</v>
      </c>
      <c r="F9" s="145">
        <v>99990.93</v>
      </c>
      <c r="G9" s="145"/>
      <c r="H9" s="145">
        <v>99990.93</v>
      </c>
      <c r="I9" s="261" t="s">
        <v>29</v>
      </c>
    </row>
    <row r="10" spans="2:9" ht="23.25">
      <c r="B10" s="71" t="s">
        <v>227</v>
      </c>
      <c r="F10" s="145">
        <v>16775.7</v>
      </c>
      <c r="G10" s="145"/>
      <c r="H10" s="145">
        <v>16775.7</v>
      </c>
      <c r="I10" s="261" t="s">
        <v>29</v>
      </c>
    </row>
    <row r="11" spans="5:9" ht="23.25">
      <c r="E11" s="71" t="s">
        <v>228</v>
      </c>
      <c r="F11" s="262">
        <f>SUM(F6:F10)</f>
        <v>2956799.7</v>
      </c>
      <c r="G11" s="156"/>
      <c r="H11" s="262">
        <f>SUM(H6:H10)</f>
        <v>2956799.7</v>
      </c>
      <c r="I11" s="261" t="s">
        <v>29</v>
      </c>
    </row>
    <row r="12" spans="1:7" ht="23.25">
      <c r="A12" s="91" t="s">
        <v>44</v>
      </c>
      <c r="F12" s="145"/>
      <c r="G12" s="145"/>
    </row>
    <row r="13" spans="2:9" ht="23.25">
      <c r="B13" s="71" t="s">
        <v>229</v>
      </c>
      <c r="F13" s="145">
        <v>429893.02</v>
      </c>
      <c r="G13" s="145"/>
      <c r="H13" s="145">
        <v>429893.02</v>
      </c>
      <c r="I13" s="261" t="s">
        <v>29</v>
      </c>
    </row>
    <row r="14" spans="2:9" ht="23.25">
      <c r="B14" s="71" t="s">
        <v>240</v>
      </c>
      <c r="F14" s="145">
        <v>1795000</v>
      </c>
      <c r="G14" s="145"/>
      <c r="H14" s="145">
        <v>1795000</v>
      </c>
      <c r="I14" s="261" t="s">
        <v>29</v>
      </c>
    </row>
    <row r="15" spans="2:9" ht="23.25">
      <c r="B15" s="71" t="s">
        <v>230</v>
      </c>
      <c r="F15" s="145">
        <v>603540</v>
      </c>
      <c r="G15" s="145"/>
      <c r="H15" s="145">
        <v>603540</v>
      </c>
      <c r="I15" s="261" t="s">
        <v>29</v>
      </c>
    </row>
    <row r="16" spans="2:9" ht="23.25">
      <c r="B16" s="71" t="s">
        <v>231</v>
      </c>
      <c r="F16" s="145">
        <v>4338.43</v>
      </c>
      <c r="G16" s="145"/>
      <c r="H16" s="145">
        <v>4338.43</v>
      </c>
      <c r="I16" s="261" t="s">
        <v>29</v>
      </c>
    </row>
    <row r="17" spans="2:9" ht="23.25">
      <c r="B17" s="71" t="s">
        <v>232</v>
      </c>
      <c r="F17" s="145">
        <v>283838.18</v>
      </c>
      <c r="G17" s="145"/>
      <c r="H17" s="145">
        <v>283838.18</v>
      </c>
      <c r="I17" s="261" t="s">
        <v>29</v>
      </c>
    </row>
    <row r="18" spans="2:9" ht="23.25">
      <c r="B18" s="71" t="s">
        <v>233</v>
      </c>
      <c r="F18" s="145">
        <v>16775.7</v>
      </c>
      <c r="G18" s="145"/>
      <c r="H18" s="145">
        <v>16775.7</v>
      </c>
      <c r="I18" s="261" t="s">
        <v>29</v>
      </c>
    </row>
    <row r="19" spans="5:9" ht="23.25">
      <c r="E19" s="71" t="s">
        <v>228</v>
      </c>
      <c r="F19" s="262">
        <f>SUM(F13:F18)</f>
        <v>3133385.3300000005</v>
      </c>
      <c r="G19" s="145"/>
      <c r="H19" s="262">
        <f>SUM(H13:H18)</f>
        <v>3133385.3300000005</v>
      </c>
      <c r="I19" s="261" t="s">
        <v>29</v>
      </c>
    </row>
    <row r="20" spans="2:9" ht="24" thickBot="1">
      <c r="B20" s="71" t="s">
        <v>234</v>
      </c>
      <c r="F20" s="300">
        <f>F11-F19</f>
        <v>-176585.63000000035</v>
      </c>
      <c r="G20" s="145"/>
      <c r="H20" s="263">
        <f>H11-H19</f>
        <v>-176585.63000000035</v>
      </c>
      <c r="I20" s="261" t="s">
        <v>29</v>
      </c>
    </row>
    <row r="21" spans="6:9" ht="24" thickTop="1">
      <c r="F21" s="145"/>
      <c r="G21" s="145"/>
      <c r="H21" s="156"/>
      <c r="I21" s="261"/>
    </row>
    <row r="23" spans="1:10" s="264" customFormat="1" ht="21.75">
      <c r="A23" s="359" t="s">
        <v>235</v>
      </c>
      <c r="B23" s="359"/>
      <c r="C23" s="359"/>
      <c r="D23" s="359"/>
      <c r="E23" s="359"/>
      <c r="F23" s="359"/>
      <c r="G23" s="359"/>
      <c r="H23" s="359"/>
      <c r="I23" s="359"/>
      <c r="J23" s="359"/>
    </row>
    <row r="24" spans="1:10" s="264" customFormat="1" ht="21.75">
      <c r="A24" s="359" t="s">
        <v>236</v>
      </c>
      <c r="B24" s="359"/>
      <c r="C24" s="359"/>
      <c r="D24" s="359"/>
      <c r="E24" s="359"/>
      <c r="F24" s="359"/>
      <c r="G24" s="359"/>
      <c r="H24" s="359"/>
      <c r="I24" s="359"/>
      <c r="J24" s="359"/>
    </row>
    <row r="25" spans="1:10" s="264" customFormat="1" ht="21.75">
      <c r="A25" s="359" t="s">
        <v>237</v>
      </c>
      <c r="B25" s="359"/>
      <c r="C25" s="359"/>
      <c r="D25" s="359"/>
      <c r="E25" s="359"/>
      <c r="F25" s="359"/>
      <c r="G25" s="359"/>
      <c r="H25" s="359"/>
      <c r="I25" s="359"/>
      <c r="J25" s="359"/>
    </row>
  </sheetData>
  <mergeCells count="6">
    <mergeCell ref="A24:J24"/>
    <mergeCell ref="A25:J25"/>
    <mergeCell ref="A1:I1"/>
    <mergeCell ref="A2:I2"/>
    <mergeCell ref="A3:I3"/>
    <mergeCell ref="A23:J23"/>
  </mergeCells>
  <printOptions/>
  <pageMargins left="0.75" right="0.75" top="0.25" bottom="0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F34" sqref="F34"/>
    </sheetView>
  </sheetViews>
  <sheetFormatPr defaultColWidth="9.140625" defaultRowHeight="21.75"/>
  <cols>
    <col min="1" max="1" width="11.8515625" style="0" bestFit="1" customWidth="1"/>
    <col min="4" max="4" width="11.140625" style="0" customWidth="1"/>
    <col min="6" max="6" width="6.7109375" style="0" customWidth="1"/>
    <col min="7" max="7" width="13.140625" style="0" bestFit="1" customWidth="1"/>
    <col min="8" max="8" width="7.00390625" style="0" customWidth="1"/>
    <col min="9" max="9" width="17.28125" style="0" hidden="1" customWidth="1"/>
    <col min="10" max="10" width="14.28125" style="0" hidden="1" customWidth="1"/>
    <col min="11" max="11" width="10.7109375" style="0" hidden="1" customWidth="1"/>
    <col min="12" max="12" width="12.57421875" style="0" customWidth="1"/>
    <col min="13" max="13" width="5.7109375" style="0" customWidth="1"/>
    <col min="14" max="14" width="7.28125" style="0" customWidth="1"/>
    <col min="15" max="15" width="9.140625" style="0" hidden="1" customWidth="1"/>
    <col min="16" max="16" width="4.8515625" style="0" customWidth="1"/>
    <col min="17" max="17" width="10.421875" style="0" bestFit="1" customWidth="1"/>
  </cols>
  <sheetData>
    <row r="1" spans="1:10" ht="24">
      <c r="A1" s="1" t="s">
        <v>0</v>
      </c>
      <c r="B1" s="1"/>
      <c r="C1" s="1"/>
      <c r="D1" s="2"/>
      <c r="E1" s="3"/>
      <c r="F1" s="2"/>
      <c r="G1" s="2"/>
      <c r="H1" s="2"/>
      <c r="I1" s="2"/>
      <c r="J1" s="2"/>
    </row>
    <row r="2" spans="1:10" ht="24">
      <c r="A2" s="2"/>
      <c r="B2" s="2"/>
      <c r="C2" s="2"/>
      <c r="D2" s="2"/>
      <c r="E2" s="3"/>
      <c r="F2" s="2" t="s">
        <v>8</v>
      </c>
      <c r="G2" s="2"/>
      <c r="H2" s="2"/>
      <c r="I2" s="2"/>
      <c r="J2" s="2"/>
    </row>
    <row r="3" spans="1:10" ht="26.25">
      <c r="A3" s="1" t="s">
        <v>1</v>
      </c>
      <c r="B3" s="2"/>
      <c r="C3" s="2"/>
      <c r="D3" s="2"/>
      <c r="E3" s="3"/>
      <c r="F3" s="2"/>
      <c r="G3" s="2"/>
      <c r="H3" s="2"/>
      <c r="I3" s="2"/>
      <c r="J3" s="2"/>
    </row>
    <row r="4" spans="1:10" ht="24">
      <c r="A4" s="2"/>
      <c r="B4" s="2"/>
      <c r="C4" s="2"/>
      <c r="D4" s="2"/>
      <c r="E4" s="3"/>
      <c r="F4" s="2" t="s">
        <v>9</v>
      </c>
      <c r="G4" s="2"/>
      <c r="H4" s="2"/>
      <c r="I4" s="4"/>
      <c r="J4" s="2"/>
    </row>
    <row r="5" spans="1:13" ht="24">
      <c r="A5" s="5"/>
      <c r="B5" s="5"/>
      <c r="C5" s="5"/>
      <c r="D5" s="5"/>
      <c r="E5" s="6"/>
      <c r="F5" s="5"/>
      <c r="G5" s="5"/>
      <c r="H5" s="5"/>
      <c r="I5" s="5"/>
      <c r="J5" s="5"/>
      <c r="L5" s="330" t="s">
        <v>3</v>
      </c>
      <c r="M5" s="330"/>
    </row>
    <row r="6" spans="1:13" ht="24">
      <c r="A6" s="1" t="s">
        <v>143</v>
      </c>
      <c r="B6" s="1"/>
      <c r="C6" s="1"/>
      <c r="D6" s="1"/>
      <c r="E6" s="1"/>
      <c r="F6" s="1"/>
      <c r="G6" s="2"/>
      <c r="H6" s="2"/>
      <c r="I6" s="361" t="s">
        <v>2</v>
      </c>
      <c r="J6" s="329"/>
      <c r="L6" s="325">
        <v>3445226.82</v>
      </c>
      <c r="M6" s="326"/>
    </row>
    <row r="7" spans="1:13" ht="24">
      <c r="A7" s="1"/>
      <c r="B7" s="1"/>
      <c r="C7" s="1"/>
      <c r="D7" s="1"/>
      <c r="E7" s="1"/>
      <c r="F7" s="1"/>
      <c r="G7" s="2"/>
      <c r="H7" s="2"/>
      <c r="I7" s="150"/>
      <c r="J7" s="151"/>
      <c r="L7" s="152"/>
      <c r="M7" s="153"/>
    </row>
    <row r="8" spans="1:13" ht="24">
      <c r="A8" s="1"/>
      <c r="B8" s="2"/>
      <c r="C8" s="2"/>
      <c r="D8" s="2"/>
      <c r="E8" s="2"/>
      <c r="F8" s="2"/>
      <c r="G8" s="2"/>
      <c r="H8" s="2"/>
      <c r="I8" s="8"/>
      <c r="J8" s="9"/>
      <c r="L8" s="10"/>
      <c r="M8" s="11"/>
    </row>
    <row r="9" spans="1:13" ht="24">
      <c r="A9" s="2" t="s">
        <v>10</v>
      </c>
      <c r="B9" s="2"/>
      <c r="C9" s="2"/>
      <c r="D9" s="2"/>
      <c r="E9" s="2"/>
      <c r="F9" s="2"/>
      <c r="G9" s="2"/>
      <c r="H9" s="2"/>
      <c r="I9" s="8"/>
      <c r="J9" s="9"/>
      <c r="L9" s="10"/>
      <c r="M9" s="11"/>
    </row>
    <row r="10" spans="1:13" ht="24">
      <c r="A10" s="2"/>
      <c r="B10" s="2"/>
      <c r="C10" s="2"/>
      <c r="D10" s="2"/>
      <c r="E10" s="2"/>
      <c r="F10" s="2"/>
      <c r="G10" s="2"/>
      <c r="H10" s="2"/>
      <c r="I10" s="8"/>
      <c r="J10" s="9"/>
      <c r="L10" s="10"/>
      <c r="M10" s="11"/>
    </row>
    <row r="11" spans="1:13" ht="24">
      <c r="A11" s="1" t="s">
        <v>4</v>
      </c>
      <c r="B11" s="2"/>
      <c r="C11" s="2"/>
      <c r="D11" s="2"/>
      <c r="E11" s="2"/>
      <c r="F11" s="2"/>
      <c r="G11" s="2"/>
      <c r="H11" s="2"/>
      <c r="I11" s="8"/>
      <c r="J11" s="9"/>
      <c r="L11" s="10"/>
      <c r="M11" s="11"/>
    </row>
    <row r="12" spans="1:13" ht="24">
      <c r="A12" s="2" t="s">
        <v>11</v>
      </c>
      <c r="B12" s="2"/>
      <c r="C12" s="2"/>
      <c r="D12" s="2"/>
      <c r="E12" s="2"/>
      <c r="F12" s="2"/>
      <c r="G12" s="2"/>
      <c r="H12" s="2"/>
      <c r="I12" s="13">
        <v>7257493.21</v>
      </c>
      <c r="J12" s="9"/>
      <c r="L12" s="333"/>
      <c r="M12" s="324"/>
    </row>
    <row r="13" spans="1:13" ht="24">
      <c r="A13" s="23" t="s">
        <v>140</v>
      </c>
      <c r="B13" s="2"/>
      <c r="C13" s="2"/>
      <c r="D13" s="155" t="s">
        <v>141</v>
      </c>
      <c r="E13" s="2"/>
      <c r="F13" s="2"/>
      <c r="G13" s="14">
        <v>5646.73</v>
      </c>
      <c r="H13" s="2"/>
      <c r="I13" s="13"/>
      <c r="J13" s="9"/>
      <c r="L13" s="216"/>
      <c r="M13" s="217"/>
    </row>
    <row r="14" spans="1:13" ht="24">
      <c r="A14" s="23" t="s">
        <v>144</v>
      </c>
      <c r="B14" s="2"/>
      <c r="C14" s="2"/>
      <c r="D14" s="155" t="s">
        <v>145</v>
      </c>
      <c r="E14" s="2"/>
      <c r="F14" s="2"/>
      <c r="G14" s="14">
        <v>8024.3</v>
      </c>
      <c r="H14" s="2"/>
      <c r="I14" s="13"/>
      <c r="J14" s="9"/>
      <c r="L14" s="216"/>
      <c r="M14" s="217"/>
    </row>
    <row r="15" spans="1:13" ht="24">
      <c r="A15" s="23" t="s">
        <v>144</v>
      </c>
      <c r="B15" s="2"/>
      <c r="C15" s="2"/>
      <c r="D15" s="155" t="s">
        <v>146</v>
      </c>
      <c r="E15" s="2"/>
      <c r="F15" s="2"/>
      <c r="G15" s="14">
        <v>3500</v>
      </c>
      <c r="H15" s="2"/>
      <c r="I15" s="13"/>
      <c r="J15" s="9"/>
      <c r="L15" s="216"/>
      <c r="M15" s="217"/>
    </row>
    <row r="16" spans="1:13" ht="24">
      <c r="A16" s="23" t="s">
        <v>144</v>
      </c>
      <c r="B16" s="2"/>
      <c r="C16" s="2"/>
      <c r="D16" s="155" t="s">
        <v>147</v>
      </c>
      <c r="E16" s="2"/>
      <c r="F16" s="2"/>
      <c r="G16" s="14">
        <v>24750</v>
      </c>
      <c r="H16" s="2"/>
      <c r="I16" s="13"/>
      <c r="J16" s="9"/>
      <c r="L16" s="216"/>
      <c r="M16" s="217"/>
    </row>
    <row r="17" spans="1:13" ht="24">
      <c r="A17" s="23" t="s">
        <v>144</v>
      </c>
      <c r="B17" s="2"/>
      <c r="C17" s="2"/>
      <c r="D17" s="155" t="s">
        <v>148</v>
      </c>
      <c r="E17" s="2"/>
      <c r="F17" s="2"/>
      <c r="G17" s="14">
        <v>1810</v>
      </c>
      <c r="H17" s="2"/>
      <c r="I17" s="13"/>
      <c r="J17" s="9"/>
      <c r="L17" s="216"/>
      <c r="M17" s="217"/>
    </row>
    <row r="18" spans="1:13" ht="24">
      <c r="A18" s="23" t="s">
        <v>144</v>
      </c>
      <c r="B18" s="2"/>
      <c r="C18" s="2"/>
      <c r="D18" s="155" t="s">
        <v>149</v>
      </c>
      <c r="E18" s="2"/>
      <c r="F18" s="2"/>
      <c r="G18" s="14">
        <v>1450</v>
      </c>
      <c r="H18" s="2"/>
      <c r="I18" s="13"/>
      <c r="J18" s="9"/>
      <c r="L18" s="216"/>
      <c r="M18" s="217"/>
    </row>
    <row r="19" spans="1:13" ht="24">
      <c r="A19" s="23" t="s">
        <v>144</v>
      </c>
      <c r="B19" s="2"/>
      <c r="C19" s="2"/>
      <c r="D19" s="155" t="s">
        <v>150</v>
      </c>
      <c r="E19" s="2"/>
      <c r="F19" s="2"/>
      <c r="G19" s="14">
        <v>5500</v>
      </c>
      <c r="H19" s="2"/>
      <c r="I19" s="8"/>
      <c r="J19" s="9"/>
      <c r="L19" s="327">
        <f>SUM(G13:G19)</f>
        <v>50681.03</v>
      </c>
      <c r="M19" s="328"/>
    </row>
    <row r="20" spans="1:13" ht="24">
      <c r="A20" s="23"/>
      <c r="B20" s="2"/>
      <c r="C20" s="2"/>
      <c r="D20" s="155"/>
      <c r="E20" s="2"/>
      <c r="F20" s="2"/>
      <c r="G20" s="14"/>
      <c r="H20" s="2"/>
      <c r="I20" s="8"/>
      <c r="J20" s="9"/>
      <c r="L20" s="85"/>
      <c r="M20" s="87"/>
    </row>
    <row r="21" spans="1:13" ht="24">
      <c r="A21" s="1" t="s">
        <v>104</v>
      </c>
      <c r="B21" s="1"/>
      <c r="C21" s="1"/>
      <c r="D21" s="1"/>
      <c r="E21" s="2"/>
      <c r="F21" s="2"/>
      <c r="G21" s="2"/>
      <c r="H21" s="2"/>
      <c r="I21" s="8"/>
      <c r="J21" s="9"/>
      <c r="L21" s="15"/>
      <c r="M21" s="11"/>
    </row>
    <row r="22" spans="1:13" ht="24">
      <c r="A22" s="16" t="s">
        <v>5</v>
      </c>
      <c r="B22" s="2"/>
      <c r="C22" s="2"/>
      <c r="D22" s="2"/>
      <c r="E22" s="2"/>
      <c r="F22" s="2"/>
      <c r="G22" s="2"/>
      <c r="H22" s="2"/>
      <c r="I22" s="8"/>
      <c r="J22" s="9"/>
      <c r="L22" s="10"/>
      <c r="M22" s="11"/>
    </row>
    <row r="23" spans="1:13" ht="24">
      <c r="A23" s="12"/>
      <c r="B23" s="2"/>
      <c r="C23" s="2"/>
      <c r="D23" s="2"/>
      <c r="E23" s="2"/>
      <c r="F23" s="2"/>
      <c r="G23" s="14"/>
      <c r="H23" s="2"/>
      <c r="I23" s="8"/>
      <c r="J23" s="9"/>
      <c r="L23" s="10"/>
      <c r="M23" s="11"/>
    </row>
    <row r="24" spans="1:13" ht="24">
      <c r="A24" s="23"/>
      <c r="B24" s="2"/>
      <c r="C24" s="2"/>
      <c r="D24" s="2"/>
      <c r="E24" s="2"/>
      <c r="F24" s="2"/>
      <c r="G24" s="14"/>
      <c r="H24" s="2"/>
      <c r="I24" s="8"/>
      <c r="J24" s="9"/>
      <c r="L24" s="322"/>
      <c r="M24" s="323"/>
    </row>
    <row r="25" spans="1:13" ht="24">
      <c r="A25" s="2"/>
      <c r="B25" s="2"/>
      <c r="C25" s="2"/>
      <c r="D25" s="2"/>
      <c r="E25" s="2"/>
      <c r="F25" s="2"/>
      <c r="G25" s="2"/>
      <c r="H25" s="2"/>
      <c r="I25" s="8"/>
      <c r="J25" s="9"/>
      <c r="L25" s="10"/>
      <c r="M25" s="11"/>
    </row>
    <row r="26" spans="1:17" ht="24">
      <c r="A26" s="154" t="s">
        <v>241</v>
      </c>
      <c r="B26" s="5"/>
      <c r="C26" s="5"/>
      <c r="D26" s="5"/>
      <c r="E26" s="5"/>
      <c r="F26" s="5"/>
      <c r="G26" s="5"/>
      <c r="H26" s="6"/>
      <c r="I26" s="18">
        <v>7256974.21</v>
      </c>
      <c r="J26" s="9"/>
      <c r="L26" s="331">
        <f>L6-L19+L24</f>
        <v>3394545.79</v>
      </c>
      <c r="M26" s="332"/>
      <c r="Q26" s="149"/>
    </row>
    <row r="27" spans="1:10" ht="24">
      <c r="A27" s="1" t="s">
        <v>6</v>
      </c>
      <c r="B27" s="2"/>
      <c r="C27" s="2"/>
      <c r="D27" s="2"/>
      <c r="E27" s="2"/>
      <c r="F27" s="8" t="s">
        <v>7</v>
      </c>
      <c r="G27" s="2"/>
      <c r="H27" s="2"/>
      <c r="I27" s="9"/>
      <c r="J27" s="5"/>
    </row>
    <row r="28" spans="1:10" ht="24">
      <c r="A28" s="2"/>
      <c r="B28" s="2"/>
      <c r="C28" s="2"/>
      <c r="D28" s="2"/>
      <c r="E28" s="2"/>
      <c r="F28" s="8"/>
      <c r="G28" s="2"/>
      <c r="H28" s="2"/>
      <c r="I28" s="2"/>
      <c r="J28" s="9"/>
    </row>
    <row r="29" spans="1:12" ht="24">
      <c r="A29" s="1" t="s">
        <v>112</v>
      </c>
      <c r="B29" s="2"/>
      <c r="C29" s="2"/>
      <c r="D29" s="24" t="s">
        <v>242</v>
      </c>
      <c r="E29" s="2"/>
      <c r="F29" s="25" t="s">
        <v>139</v>
      </c>
      <c r="G29" s="2"/>
      <c r="H29" s="2"/>
      <c r="I29" s="2"/>
      <c r="J29" s="2"/>
      <c r="L29" s="24" t="str">
        <f>D29</f>
        <v>วันที่ 31 ต.ค 52</v>
      </c>
    </row>
    <row r="30" spans="1:13" ht="24">
      <c r="A30" s="17" t="s">
        <v>113</v>
      </c>
      <c r="B30" s="5"/>
      <c r="C30" s="5"/>
      <c r="D30" s="5"/>
      <c r="E30" s="5"/>
      <c r="F30" s="19" t="s">
        <v>12</v>
      </c>
      <c r="G30" s="5"/>
      <c r="H30" s="5"/>
      <c r="I30" s="5"/>
      <c r="J30" s="5"/>
      <c r="K30" s="7"/>
      <c r="L30" s="7"/>
      <c r="M30" s="7"/>
    </row>
    <row r="31" spans="1:10" ht="24">
      <c r="A31" s="9"/>
      <c r="B31" s="9"/>
      <c r="C31" s="9"/>
      <c r="D31" s="9"/>
      <c r="E31" s="9"/>
      <c r="F31" s="9"/>
      <c r="G31" s="9"/>
      <c r="H31" s="9"/>
      <c r="I31" s="9"/>
      <c r="J31" s="5"/>
    </row>
    <row r="32" spans="1:9" ht="21.75">
      <c r="A32" s="11"/>
      <c r="B32" s="11"/>
      <c r="C32" s="11"/>
      <c r="D32" s="11"/>
      <c r="E32" s="11"/>
      <c r="F32" s="11"/>
      <c r="G32" s="11"/>
      <c r="H32" s="11"/>
      <c r="I32" s="11"/>
    </row>
  </sheetData>
  <mergeCells count="7">
    <mergeCell ref="I6:J6"/>
    <mergeCell ref="L5:M5"/>
    <mergeCell ref="L26:M26"/>
    <mergeCell ref="L12:M12"/>
    <mergeCell ref="L6:M6"/>
    <mergeCell ref="L19:M19"/>
    <mergeCell ref="L24:M24"/>
  </mergeCells>
  <printOptions/>
  <pageMargins left="0.7480314960629921" right="0.5905511811023623" top="0.31496062992125984" bottom="0.15748031496062992" header="0.5118110236220472" footer="0.1574803149606299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8"/>
  <sheetViews>
    <sheetView zoomScaleSheetLayoutView="100" workbookViewId="0" topLeftCell="A1">
      <selection activeCell="D19" sqref="D19"/>
    </sheetView>
  </sheetViews>
  <sheetFormatPr defaultColWidth="9.140625" defaultRowHeight="21.75"/>
  <cols>
    <col min="1" max="1" width="46.421875" style="264" customWidth="1"/>
    <col min="2" max="2" width="9.28125" style="299" customWidth="1"/>
    <col min="3" max="3" width="14.7109375" style="264" customWidth="1"/>
    <col min="4" max="4" width="4.7109375" style="264" customWidth="1"/>
    <col min="5" max="5" width="14.7109375" style="264" customWidth="1"/>
    <col min="6" max="6" width="4.7109375" style="264" customWidth="1"/>
    <col min="7" max="16384" width="9.140625" style="264" customWidth="1"/>
  </cols>
  <sheetData>
    <row r="1" spans="1:6" ht="21.75">
      <c r="A1" s="362" t="s">
        <v>59</v>
      </c>
      <c r="B1" s="362"/>
      <c r="C1" s="362"/>
      <c r="D1" s="362"/>
      <c r="E1" s="362"/>
      <c r="F1" s="362"/>
    </row>
    <row r="2" spans="1:6" ht="21.75">
      <c r="A2" s="362" t="s">
        <v>60</v>
      </c>
      <c r="B2" s="362"/>
      <c r="C2" s="362"/>
      <c r="D2" s="362"/>
      <c r="E2" s="362"/>
      <c r="F2" s="362"/>
    </row>
    <row r="3" spans="1:42" ht="21.75">
      <c r="A3" s="363" t="s">
        <v>151</v>
      </c>
      <c r="B3" s="363"/>
      <c r="C3" s="363"/>
      <c r="D3" s="363"/>
      <c r="E3" s="363"/>
      <c r="F3" s="363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</row>
    <row r="4" spans="1:42" ht="23.25" customHeight="1">
      <c r="A4" s="364" t="s">
        <v>27</v>
      </c>
      <c r="B4" s="366" t="s">
        <v>61</v>
      </c>
      <c r="C4" s="364" t="s">
        <v>62</v>
      </c>
      <c r="D4" s="364"/>
      <c r="E4" s="368" t="s">
        <v>63</v>
      </c>
      <c r="F4" s="369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</row>
    <row r="5" spans="1:42" ht="21.75">
      <c r="A5" s="365"/>
      <c r="B5" s="367"/>
      <c r="C5" s="365"/>
      <c r="D5" s="365"/>
      <c r="E5" s="370"/>
      <c r="F5" s="371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</row>
    <row r="6" spans="1:42" ht="21.75">
      <c r="A6" s="266" t="s">
        <v>131</v>
      </c>
      <c r="B6" s="267" t="s">
        <v>152</v>
      </c>
      <c r="C6" s="268">
        <v>68</v>
      </c>
      <c r="D6" s="269">
        <v>40</v>
      </c>
      <c r="E6" s="270"/>
      <c r="F6" s="271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</row>
    <row r="7" spans="1:6" ht="21.75">
      <c r="A7" s="272" t="s">
        <v>64</v>
      </c>
      <c r="B7" s="273" t="s">
        <v>153</v>
      </c>
      <c r="C7" s="274">
        <v>3394545</v>
      </c>
      <c r="D7" s="275">
        <v>79</v>
      </c>
      <c r="E7" s="276"/>
      <c r="F7" s="277"/>
    </row>
    <row r="8" spans="1:6" ht="21.75">
      <c r="A8" s="272" t="s">
        <v>120</v>
      </c>
      <c r="B8" s="273" t="s">
        <v>153</v>
      </c>
      <c r="C8" s="274">
        <v>572365</v>
      </c>
      <c r="D8" s="275">
        <v>4</v>
      </c>
      <c r="E8" s="276"/>
      <c r="F8" s="277"/>
    </row>
    <row r="9" spans="1:6" ht="21.75">
      <c r="A9" s="272" t="s">
        <v>65</v>
      </c>
      <c r="B9" s="273" t="s">
        <v>154</v>
      </c>
      <c r="C9" s="278">
        <v>693898</v>
      </c>
      <c r="D9" s="279">
        <v>33</v>
      </c>
      <c r="E9" s="276"/>
      <c r="F9" s="277"/>
    </row>
    <row r="10" spans="1:6" ht="21.75">
      <c r="A10" s="272" t="s">
        <v>40</v>
      </c>
      <c r="B10" s="273" t="s">
        <v>155</v>
      </c>
      <c r="C10" s="278">
        <v>51229</v>
      </c>
      <c r="D10" s="277">
        <v>40</v>
      </c>
      <c r="E10" s="276"/>
      <c r="F10" s="277"/>
    </row>
    <row r="11" spans="1:6" ht="21.75">
      <c r="A11" s="272" t="s">
        <v>170</v>
      </c>
      <c r="B11" s="273" t="s">
        <v>156</v>
      </c>
      <c r="C11" s="278"/>
      <c r="D11" s="280"/>
      <c r="E11" s="278">
        <v>143520</v>
      </c>
      <c r="F11" s="277" t="s">
        <v>69</v>
      </c>
    </row>
    <row r="12" spans="1:6" ht="21.75">
      <c r="A12" s="272" t="s">
        <v>171</v>
      </c>
      <c r="B12" s="273" t="s">
        <v>157</v>
      </c>
      <c r="C12" s="278"/>
      <c r="D12" s="280"/>
      <c r="E12" s="278">
        <v>478251</v>
      </c>
      <c r="F12" s="277">
        <v>50</v>
      </c>
    </row>
    <row r="13" spans="1:6" ht="21.75">
      <c r="A13" s="272" t="s">
        <v>188</v>
      </c>
      <c r="B13" s="273" t="s">
        <v>187</v>
      </c>
      <c r="C13" s="274"/>
      <c r="D13" s="277"/>
      <c r="E13" s="278">
        <v>675422</v>
      </c>
      <c r="F13" s="279" t="s">
        <v>69</v>
      </c>
    </row>
    <row r="14" spans="1:6" ht="21.75">
      <c r="A14" s="272" t="s">
        <v>42</v>
      </c>
      <c r="B14" s="273" t="s">
        <v>184</v>
      </c>
      <c r="C14" s="278"/>
      <c r="D14" s="280"/>
      <c r="E14" s="278">
        <v>471680</v>
      </c>
      <c r="F14" s="279">
        <v>33</v>
      </c>
    </row>
    <row r="15" spans="1:6" ht="21.75">
      <c r="A15" s="272" t="s">
        <v>67</v>
      </c>
      <c r="B15" s="273" t="s">
        <v>185</v>
      </c>
      <c r="C15" s="278"/>
      <c r="D15" s="281"/>
      <c r="E15" s="274">
        <v>2331406</v>
      </c>
      <c r="F15" s="279">
        <v>54</v>
      </c>
    </row>
    <row r="16" spans="1:6" ht="21.75">
      <c r="A16" s="272" t="s">
        <v>189</v>
      </c>
      <c r="B16" s="273" t="s">
        <v>186</v>
      </c>
      <c r="C16" s="278"/>
      <c r="D16" s="277"/>
      <c r="E16" s="278">
        <v>2836719</v>
      </c>
      <c r="F16" s="275">
        <v>61</v>
      </c>
    </row>
    <row r="17" spans="1:6" ht="21.75">
      <c r="A17" s="272" t="s">
        <v>251</v>
      </c>
      <c r="B17" s="273" t="s">
        <v>253</v>
      </c>
      <c r="C17" s="278">
        <v>112250</v>
      </c>
      <c r="D17" s="277" t="s">
        <v>69</v>
      </c>
      <c r="E17" s="278"/>
      <c r="F17" s="275"/>
    </row>
    <row r="18" spans="1:6" ht="21.75">
      <c r="A18" s="272" t="s">
        <v>252</v>
      </c>
      <c r="B18" s="273" t="s">
        <v>254</v>
      </c>
      <c r="C18" s="278">
        <v>240000</v>
      </c>
      <c r="D18" s="277" t="s">
        <v>69</v>
      </c>
      <c r="E18" s="278"/>
      <c r="F18" s="275"/>
    </row>
    <row r="19" spans="1:6" ht="21.75">
      <c r="A19" s="272" t="s">
        <v>46</v>
      </c>
      <c r="B19" s="273" t="s">
        <v>179</v>
      </c>
      <c r="C19" s="274">
        <v>2175</v>
      </c>
      <c r="D19" s="275" t="s">
        <v>69</v>
      </c>
      <c r="E19" s="276"/>
      <c r="F19" s="277"/>
    </row>
    <row r="20" spans="1:6" ht="21.75">
      <c r="A20" s="272" t="s">
        <v>47</v>
      </c>
      <c r="B20" s="273" t="s">
        <v>180</v>
      </c>
      <c r="C20" s="274">
        <v>13560</v>
      </c>
      <c r="D20" s="275" t="s">
        <v>69</v>
      </c>
      <c r="E20" s="276"/>
      <c r="F20" s="277"/>
    </row>
    <row r="21" spans="1:6" ht="21.75">
      <c r="A21" s="272" t="s">
        <v>48</v>
      </c>
      <c r="B21" s="273" t="s">
        <v>181</v>
      </c>
      <c r="C21" s="278">
        <v>41210</v>
      </c>
      <c r="D21" s="275" t="s">
        <v>69</v>
      </c>
      <c r="E21" s="276"/>
      <c r="F21" s="277"/>
    </row>
    <row r="22" spans="1:6" ht="21.75">
      <c r="A22" s="272" t="s">
        <v>66</v>
      </c>
      <c r="B22" s="273" t="s">
        <v>182</v>
      </c>
      <c r="C22" s="278">
        <v>20698</v>
      </c>
      <c r="D22" s="275">
        <v>2</v>
      </c>
      <c r="E22" s="276"/>
      <c r="F22" s="277"/>
    </row>
    <row r="23" spans="1:6" ht="21.75">
      <c r="A23" s="272" t="s">
        <v>50</v>
      </c>
      <c r="B23" s="273" t="s">
        <v>183</v>
      </c>
      <c r="C23" s="278">
        <v>1795000</v>
      </c>
      <c r="D23" s="275" t="s">
        <v>69</v>
      </c>
      <c r="E23" s="276"/>
      <c r="F23" s="277"/>
    </row>
    <row r="24" spans="1:6" ht="21.75">
      <c r="A24" s="272"/>
      <c r="B24" s="273"/>
      <c r="C24" s="274"/>
      <c r="D24" s="277"/>
      <c r="E24" s="278"/>
      <c r="F24" s="279"/>
    </row>
    <row r="25" spans="1:6" ht="21.75">
      <c r="A25" s="272"/>
      <c r="B25" s="273"/>
      <c r="C25" s="282"/>
      <c r="D25" s="281"/>
      <c r="E25" s="278"/>
      <c r="F25" s="283"/>
    </row>
    <row r="26" spans="1:6" ht="21.75">
      <c r="A26" s="272"/>
      <c r="B26" s="273"/>
      <c r="C26" s="282"/>
      <c r="D26" s="281"/>
      <c r="E26" s="278"/>
      <c r="F26" s="283"/>
    </row>
    <row r="27" spans="1:6" ht="21.75">
      <c r="A27" s="272"/>
      <c r="B27" s="273"/>
      <c r="C27" s="282"/>
      <c r="D27" s="281"/>
      <c r="E27" s="278"/>
      <c r="F27" s="283"/>
    </row>
    <row r="28" spans="1:6" ht="21.75">
      <c r="A28" s="272"/>
      <c r="B28" s="273"/>
      <c r="C28" s="282"/>
      <c r="D28" s="281"/>
      <c r="E28" s="278"/>
      <c r="F28" s="283"/>
    </row>
    <row r="29" spans="1:6" ht="21.75">
      <c r="A29" s="272"/>
      <c r="B29" s="273"/>
      <c r="C29" s="282"/>
      <c r="D29" s="281"/>
      <c r="E29" s="276"/>
      <c r="F29" s="283"/>
    </row>
    <row r="30" spans="1:6" ht="21.75">
      <c r="A30" s="272"/>
      <c r="B30" s="273"/>
      <c r="C30" s="282"/>
      <c r="D30" s="281"/>
      <c r="E30" s="278"/>
      <c r="F30" s="283"/>
    </row>
    <row r="31" spans="1:6" ht="21.75">
      <c r="A31" s="272"/>
      <c r="B31" s="273"/>
      <c r="C31" s="282"/>
      <c r="D31" s="281"/>
      <c r="E31" s="278"/>
      <c r="F31" s="283"/>
    </row>
    <row r="32" spans="1:6" ht="21.75">
      <c r="A32" s="284"/>
      <c r="B32" s="273"/>
      <c r="C32" s="285"/>
      <c r="D32" s="281"/>
      <c r="E32" s="274"/>
      <c r="F32" s="286"/>
    </row>
    <row r="33" spans="1:6" ht="21.75">
      <c r="A33" s="287"/>
      <c r="B33" s="288"/>
      <c r="C33" s="289"/>
      <c r="D33" s="290"/>
      <c r="E33" s="282"/>
      <c r="F33" s="286"/>
    </row>
    <row r="34" spans="2:6" ht="22.5" thickBot="1">
      <c r="B34" s="291"/>
      <c r="C34" s="292">
        <f>INT(SUM(C6:C33)+SUM(D6:D33)/100)</f>
        <v>6936999</v>
      </c>
      <c r="D34" s="293">
        <f>MOD(SUM(D6:D33),100)</f>
        <v>98</v>
      </c>
      <c r="E34" s="292">
        <f>INT(SUM(E6:E33)+SUM(F6:F33)/100)</f>
        <v>6936999</v>
      </c>
      <c r="F34" s="294">
        <f>MOD(SUM(F6:F33),100)</f>
        <v>98</v>
      </c>
    </row>
    <row r="35" spans="2:6" ht="22.5" thickTop="1">
      <c r="B35" s="291"/>
      <c r="C35" s="295"/>
      <c r="D35" s="296"/>
      <c r="E35" s="295"/>
      <c r="F35" s="296"/>
    </row>
    <row r="36" spans="1:6" ht="21.75">
      <c r="A36" s="359" t="s">
        <v>122</v>
      </c>
      <c r="B36" s="359"/>
      <c r="C36" s="359"/>
      <c r="D36" s="359"/>
      <c r="E36" s="359"/>
      <c r="F36" s="359"/>
    </row>
    <row r="37" spans="1:6" ht="21.75">
      <c r="A37" s="298" t="s">
        <v>123</v>
      </c>
      <c r="B37" s="298"/>
      <c r="C37" s="298"/>
      <c r="D37" s="298"/>
      <c r="E37" s="298"/>
      <c r="F37" s="298"/>
    </row>
    <row r="38" spans="1:5" ht="21.75">
      <c r="A38" s="297" t="s">
        <v>124</v>
      </c>
      <c r="C38" s="298"/>
      <c r="D38" s="298"/>
      <c r="E38" s="298"/>
    </row>
  </sheetData>
  <mergeCells count="8">
    <mergeCell ref="A36:F36"/>
    <mergeCell ref="A1:F1"/>
    <mergeCell ref="A2:F2"/>
    <mergeCell ref="A3:F3"/>
    <mergeCell ref="A4:A5"/>
    <mergeCell ref="B4:B5"/>
    <mergeCell ref="C4:D5"/>
    <mergeCell ref="E4:F5"/>
  </mergeCells>
  <printOptions/>
  <pageMargins left="0.4724409448818898" right="0.4724409448818898" top="0.31496062992125984" bottom="0.1968503937007874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2"/>
  <sheetViews>
    <sheetView workbookViewId="0" topLeftCell="A19">
      <selection activeCell="A68" sqref="A68:E68"/>
    </sheetView>
  </sheetViews>
  <sheetFormatPr defaultColWidth="9.140625" defaultRowHeight="21.75"/>
  <cols>
    <col min="1" max="1" width="9.140625" style="89" customWidth="1"/>
    <col min="2" max="2" width="49.00390625" style="89" bestFit="1" customWidth="1"/>
    <col min="3" max="5" width="14.7109375" style="89" customWidth="1"/>
    <col min="6" max="16384" width="9.140625" style="89" customWidth="1"/>
  </cols>
  <sheetData>
    <row r="1" spans="1:8" ht="23.25">
      <c r="A1" s="372" t="s">
        <v>57</v>
      </c>
      <c r="B1" s="372"/>
      <c r="C1" s="372"/>
      <c r="D1" s="372"/>
      <c r="E1" s="372"/>
      <c r="F1" s="218"/>
      <c r="G1" s="218"/>
      <c r="H1" s="218"/>
    </row>
    <row r="2" spans="1:8" ht="23.25">
      <c r="A2" s="360" t="s">
        <v>166</v>
      </c>
      <c r="B2" s="360"/>
      <c r="C2" s="360"/>
      <c r="D2" s="360"/>
      <c r="E2" s="360"/>
      <c r="F2" s="218"/>
      <c r="G2" s="218"/>
      <c r="H2" s="218"/>
    </row>
    <row r="3" spans="1:8" ht="23.25">
      <c r="A3" s="360" t="s">
        <v>167</v>
      </c>
      <c r="B3" s="360"/>
      <c r="C3" s="360"/>
      <c r="D3" s="360"/>
      <c r="E3" s="360"/>
      <c r="F3" s="218"/>
      <c r="G3" s="218"/>
      <c r="H3" s="218"/>
    </row>
    <row r="4" spans="1:8" ht="23.25">
      <c r="A4" s="360" t="s">
        <v>172</v>
      </c>
      <c r="B4" s="360"/>
      <c r="C4" s="360"/>
      <c r="D4" s="360"/>
      <c r="E4" s="360"/>
      <c r="F4" s="218"/>
      <c r="G4" s="218"/>
      <c r="H4" s="218"/>
    </row>
    <row r="6" spans="1:5" ht="23.25">
      <c r="A6" s="90">
        <v>1</v>
      </c>
      <c r="B6" s="71" t="s">
        <v>190</v>
      </c>
      <c r="E6" s="231">
        <v>128520</v>
      </c>
    </row>
    <row r="7" spans="1:5" ht="23.25">
      <c r="A7" s="90">
        <v>2</v>
      </c>
      <c r="B7" s="71" t="s">
        <v>191</v>
      </c>
      <c r="E7" s="231">
        <v>15000</v>
      </c>
    </row>
    <row r="8" spans="1:2" ht="23.25">
      <c r="A8" s="90"/>
      <c r="B8" s="71"/>
    </row>
    <row r="9" spans="1:5" ht="24" thickBot="1">
      <c r="A9" s="90"/>
      <c r="B9" s="71"/>
      <c r="E9" s="232">
        <f>SUM(E6:E8)</f>
        <v>143520</v>
      </c>
    </row>
    <row r="10" spans="1:2" ht="24" thickTop="1">
      <c r="A10" s="90"/>
      <c r="B10" s="71"/>
    </row>
    <row r="11" spans="1:2" ht="23.25">
      <c r="A11" s="90"/>
      <c r="B11" s="71"/>
    </row>
    <row r="29" spans="2:4" ht="23.25">
      <c r="B29" s="71"/>
      <c r="C29" s="134" t="s">
        <v>100</v>
      </c>
      <c r="D29" s="71"/>
    </row>
    <row r="30" spans="2:4" ht="23.25">
      <c r="B30" s="71"/>
      <c r="C30" s="71"/>
      <c r="D30" s="71"/>
    </row>
    <row r="31" spans="2:4" ht="23.25">
      <c r="B31" s="71"/>
      <c r="C31" s="134" t="s">
        <v>101</v>
      </c>
      <c r="D31" s="71"/>
    </row>
    <row r="32" spans="2:4" ht="23.25">
      <c r="B32" s="71"/>
      <c r="C32" s="134" t="s">
        <v>99</v>
      </c>
      <c r="D32" s="71"/>
    </row>
    <row r="34" spans="1:8" ht="23.25">
      <c r="A34" s="372" t="s">
        <v>133</v>
      </c>
      <c r="B34" s="372"/>
      <c r="C34" s="372"/>
      <c r="D34" s="372"/>
      <c r="E34" s="372"/>
      <c r="F34" s="218"/>
      <c r="G34" s="218"/>
      <c r="H34" s="218"/>
    </row>
    <row r="35" spans="1:8" ht="23.25">
      <c r="A35" s="360" t="s">
        <v>166</v>
      </c>
      <c r="B35" s="360"/>
      <c r="C35" s="360"/>
      <c r="D35" s="360"/>
      <c r="E35" s="360"/>
      <c r="F35" s="218"/>
      <c r="G35" s="218"/>
      <c r="H35" s="218"/>
    </row>
    <row r="36" spans="1:8" ht="23.25">
      <c r="A36" s="360" t="s">
        <v>167</v>
      </c>
      <c r="B36" s="360"/>
      <c r="C36" s="360"/>
      <c r="D36" s="360"/>
      <c r="E36" s="360"/>
      <c r="F36" s="218"/>
      <c r="G36" s="218"/>
      <c r="H36" s="218"/>
    </row>
    <row r="37" spans="1:8" ht="23.25">
      <c r="A37" s="360" t="s">
        <v>168</v>
      </c>
      <c r="B37" s="360"/>
      <c r="C37" s="360"/>
      <c r="D37" s="360"/>
      <c r="E37" s="360"/>
      <c r="F37" s="218"/>
      <c r="G37" s="218"/>
      <c r="H37" s="218"/>
    </row>
    <row r="39" spans="1:5" ht="21">
      <c r="A39" s="90">
        <v>1</v>
      </c>
      <c r="B39" s="233" t="s">
        <v>169</v>
      </c>
      <c r="C39" s="233"/>
      <c r="D39" s="233"/>
      <c r="E39" s="234">
        <v>149000</v>
      </c>
    </row>
    <row r="40" spans="1:5" ht="21">
      <c r="A40" s="90">
        <v>2</v>
      </c>
      <c r="B40" s="233" t="s">
        <v>192</v>
      </c>
      <c r="C40" s="233"/>
      <c r="D40" s="233"/>
      <c r="E40" s="234">
        <v>6400</v>
      </c>
    </row>
    <row r="41" spans="1:5" ht="21">
      <c r="A41" s="90">
        <v>3</v>
      </c>
      <c r="B41" s="233" t="s">
        <v>193</v>
      </c>
      <c r="C41" s="233"/>
      <c r="D41" s="233"/>
      <c r="E41" s="234">
        <v>190726.5</v>
      </c>
    </row>
    <row r="42" spans="1:5" ht="21">
      <c r="A42" s="90">
        <v>4</v>
      </c>
      <c r="B42" s="233" t="s">
        <v>194</v>
      </c>
      <c r="C42" s="233"/>
      <c r="D42" s="233"/>
      <c r="E42" s="234">
        <v>132125</v>
      </c>
    </row>
    <row r="44" ht="21.75" thickBot="1">
      <c r="E44" s="235">
        <f>SUM(E39:E43)</f>
        <v>478251.5</v>
      </c>
    </row>
    <row r="45" ht="21.75" thickTop="1"/>
    <row r="60" spans="2:4" ht="23.25">
      <c r="B60" s="71"/>
      <c r="C60" s="134" t="s">
        <v>100</v>
      </c>
      <c r="D60" s="71"/>
    </row>
    <row r="61" spans="2:4" ht="23.25">
      <c r="B61" s="71"/>
      <c r="C61" s="71"/>
      <c r="D61" s="71"/>
    </row>
    <row r="62" spans="2:4" ht="23.25">
      <c r="B62" s="71"/>
      <c r="C62" s="134" t="s">
        <v>101</v>
      </c>
      <c r="D62" s="71"/>
    </row>
    <row r="63" spans="2:4" ht="23.25">
      <c r="B63" s="71"/>
      <c r="C63" s="134" t="s">
        <v>99</v>
      </c>
      <c r="D63" s="71"/>
    </row>
    <row r="64" spans="2:4" ht="23.25">
      <c r="B64" s="71"/>
      <c r="C64" s="134"/>
      <c r="D64" s="71"/>
    </row>
    <row r="65" spans="2:4" ht="23.25">
      <c r="B65" s="71"/>
      <c r="C65" s="134"/>
      <c r="D65" s="71"/>
    </row>
    <row r="68" spans="1:8" ht="23.25">
      <c r="A68" s="372" t="s">
        <v>121</v>
      </c>
      <c r="B68" s="372"/>
      <c r="C68" s="372"/>
      <c r="D68" s="372"/>
      <c r="E68" s="372"/>
      <c r="F68" s="218"/>
      <c r="G68" s="218"/>
      <c r="H68" s="218"/>
    </row>
    <row r="69" spans="1:8" ht="23.25">
      <c r="A69" s="360" t="s">
        <v>166</v>
      </c>
      <c r="B69" s="360"/>
      <c r="C69" s="360"/>
      <c r="D69" s="360"/>
      <c r="E69" s="360"/>
      <c r="F69" s="218"/>
      <c r="G69" s="218"/>
      <c r="H69" s="218"/>
    </row>
    <row r="70" spans="1:8" ht="23.25">
      <c r="A70" s="360" t="s">
        <v>167</v>
      </c>
      <c r="B70" s="360"/>
      <c r="C70" s="360"/>
      <c r="D70" s="360"/>
      <c r="E70" s="360"/>
      <c r="F70" s="218"/>
      <c r="G70" s="218"/>
      <c r="H70" s="218"/>
    </row>
    <row r="71" spans="1:8" ht="23.25">
      <c r="A71" s="340" t="s">
        <v>58</v>
      </c>
      <c r="B71" s="340"/>
      <c r="C71" s="340"/>
      <c r="D71" s="340"/>
      <c r="E71" s="340"/>
      <c r="F71" s="218"/>
      <c r="G71" s="218"/>
      <c r="H71" s="218"/>
    </row>
    <row r="72" spans="1:5" s="90" customFormat="1" ht="21">
      <c r="A72" s="225" t="s">
        <v>164</v>
      </c>
      <c r="B72" s="225" t="s">
        <v>27</v>
      </c>
      <c r="C72" s="225" t="s">
        <v>62</v>
      </c>
      <c r="D72" s="225" t="s">
        <v>63</v>
      </c>
      <c r="E72" s="225" t="s">
        <v>165</v>
      </c>
    </row>
    <row r="73" spans="1:5" ht="23.25">
      <c r="A73" s="219">
        <v>1</v>
      </c>
      <c r="B73" s="220" t="s">
        <v>158</v>
      </c>
      <c r="C73" s="221">
        <v>4338.43</v>
      </c>
      <c r="D73" s="221">
        <v>2772.84</v>
      </c>
      <c r="E73" s="221">
        <v>2772.84</v>
      </c>
    </row>
    <row r="74" spans="1:5" ht="23.25">
      <c r="A74" s="226">
        <v>2</v>
      </c>
      <c r="B74" s="227" t="s">
        <v>159</v>
      </c>
      <c r="C74" s="228">
        <v>0</v>
      </c>
      <c r="D74" s="228">
        <v>0</v>
      </c>
      <c r="E74" s="228">
        <v>91181.75</v>
      </c>
    </row>
    <row r="75" spans="1:5" ht="23.25">
      <c r="A75" s="226">
        <v>3</v>
      </c>
      <c r="B75" s="227" t="s">
        <v>160</v>
      </c>
      <c r="C75" s="228">
        <v>0</v>
      </c>
      <c r="D75" s="228">
        <v>211.65</v>
      </c>
      <c r="E75" s="228">
        <v>3364.77</v>
      </c>
    </row>
    <row r="76" spans="1:5" ht="23.25">
      <c r="A76" s="226">
        <v>4</v>
      </c>
      <c r="B76" s="227" t="s">
        <v>161</v>
      </c>
      <c r="C76" s="228">
        <v>0.01</v>
      </c>
      <c r="D76" s="228">
        <v>253.98</v>
      </c>
      <c r="E76" s="228">
        <v>4037.6</v>
      </c>
    </row>
    <row r="77" spans="1:5" ht="23.25">
      <c r="A77" s="226">
        <v>5</v>
      </c>
      <c r="B77" s="227" t="s">
        <v>162</v>
      </c>
      <c r="C77" s="228">
        <v>0</v>
      </c>
      <c r="D77" s="228">
        <v>0</v>
      </c>
      <c r="E77" s="228">
        <v>572365.04</v>
      </c>
    </row>
    <row r="78" spans="1:5" ht="23.25">
      <c r="A78" s="222">
        <v>6</v>
      </c>
      <c r="B78" s="223" t="s">
        <v>163</v>
      </c>
      <c r="C78" s="224"/>
      <c r="D78" s="224">
        <v>75</v>
      </c>
      <c r="E78" s="224">
        <v>1700</v>
      </c>
    </row>
    <row r="79" spans="3:5" ht="21.75" thickBot="1">
      <c r="C79" s="229">
        <f>SUM(C73:C78)</f>
        <v>4338.4400000000005</v>
      </c>
      <c r="D79" s="229">
        <f>SUM(D73:D78)</f>
        <v>3313.4700000000003</v>
      </c>
      <c r="E79" s="229">
        <f>SUM(E73:E78)</f>
        <v>675422</v>
      </c>
    </row>
    <row r="80" spans="3:5" ht="21.75" thickTop="1">
      <c r="C80" s="230"/>
      <c r="D80" s="230"/>
      <c r="E80" s="230"/>
    </row>
    <row r="81" spans="3:5" ht="21">
      <c r="C81" s="230"/>
      <c r="D81" s="230"/>
      <c r="E81" s="230"/>
    </row>
    <row r="82" spans="3:5" ht="21">
      <c r="C82" s="230"/>
      <c r="D82" s="230"/>
      <c r="E82" s="230"/>
    </row>
    <row r="83" spans="2:5" ht="23.25">
      <c r="B83" s="71"/>
      <c r="C83" s="134" t="s">
        <v>100</v>
      </c>
      <c r="D83" s="71"/>
      <c r="E83" s="230"/>
    </row>
    <row r="84" spans="2:5" ht="23.25">
      <c r="B84" s="71"/>
      <c r="C84" s="71"/>
      <c r="D84" s="71"/>
      <c r="E84" s="230"/>
    </row>
    <row r="85" spans="2:4" ht="23.25">
      <c r="B85" s="71"/>
      <c r="C85" s="134" t="s">
        <v>101</v>
      </c>
      <c r="D85" s="71"/>
    </row>
    <row r="86" spans="2:4" ht="23.25">
      <c r="B86" s="71"/>
      <c r="C86" s="134" t="s">
        <v>99</v>
      </c>
      <c r="D86" s="71"/>
    </row>
    <row r="87" spans="2:4" ht="23.25">
      <c r="B87" s="71"/>
      <c r="C87" s="134"/>
      <c r="D87" s="71"/>
    </row>
    <row r="88" spans="2:4" ht="23.25">
      <c r="B88" s="71"/>
      <c r="C88" s="134"/>
      <c r="D88" s="71"/>
    </row>
    <row r="89" spans="2:4" ht="23.25">
      <c r="B89" s="71"/>
      <c r="C89" s="134"/>
      <c r="D89" s="71"/>
    </row>
    <row r="90" spans="2:4" ht="23.25">
      <c r="B90" s="71"/>
      <c r="C90" s="134"/>
      <c r="D90" s="71"/>
    </row>
    <row r="91" spans="2:4" ht="23.25">
      <c r="B91" s="71"/>
      <c r="C91" s="134"/>
      <c r="D91" s="71"/>
    </row>
    <row r="92" spans="2:4" ht="23.25">
      <c r="B92" s="71"/>
      <c r="C92" s="134"/>
      <c r="D92" s="71"/>
    </row>
    <row r="93" spans="2:4" ht="23.25">
      <c r="B93" s="71"/>
      <c r="C93" s="134"/>
      <c r="D93" s="71"/>
    </row>
    <row r="94" spans="2:4" ht="23.25">
      <c r="B94" s="71"/>
      <c r="C94" s="134"/>
      <c r="D94" s="71"/>
    </row>
    <row r="95" spans="2:4" ht="23.25">
      <c r="B95" s="71"/>
      <c r="C95" s="134"/>
      <c r="D95" s="71"/>
    </row>
    <row r="96" spans="2:4" ht="23.25">
      <c r="B96" s="71"/>
      <c r="C96" s="134"/>
      <c r="D96" s="71"/>
    </row>
    <row r="97" spans="2:4" ht="23.25">
      <c r="B97" s="71"/>
      <c r="C97" s="134"/>
      <c r="D97" s="71"/>
    </row>
    <row r="98" spans="2:4" ht="23.25">
      <c r="B98" s="71"/>
      <c r="C98" s="134"/>
      <c r="D98" s="71"/>
    </row>
    <row r="99" spans="2:4" ht="23.25">
      <c r="B99" s="71"/>
      <c r="C99" s="134"/>
      <c r="D99" s="71"/>
    </row>
    <row r="100" spans="1:10" ht="23.25">
      <c r="A100" s="372" t="s">
        <v>173</v>
      </c>
      <c r="B100" s="372"/>
      <c r="C100" s="372"/>
      <c r="D100" s="372"/>
      <c r="E100" s="372"/>
      <c r="F100" s="218"/>
      <c r="G100" s="218"/>
      <c r="H100" s="218"/>
      <c r="I100" s="157"/>
      <c r="J100" s="157"/>
    </row>
    <row r="101" spans="1:8" ht="23.25">
      <c r="A101" s="360" t="s">
        <v>166</v>
      </c>
      <c r="B101" s="360"/>
      <c r="C101" s="360"/>
      <c r="D101" s="360"/>
      <c r="E101" s="360"/>
      <c r="F101" s="218"/>
      <c r="G101" s="218"/>
      <c r="H101" s="218"/>
    </row>
    <row r="102" spans="1:8" ht="23.25">
      <c r="A102" s="360" t="s">
        <v>167</v>
      </c>
      <c r="B102" s="360"/>
      <c r="C102" s="360"/>
      <c r="D102" s="360"/>
      <c r="E102" s="360"/>
      <c r="F102" s="218"/>
      <c r="G102" s="218"/>
      <c r="H102" s="218"/>
    </row>
    <row r="103" spans="1:8" ht="23.25">
      <c r="A103" s="360" t="s">
        <v>130</v>
      </c>
      <c r="B103" s="360"/>
      <c r="C103" s="360"/>
      <c r="D103" s="360"/>
      <c r="E103" s="360"/>
      <c r="F103" s="218"/>
      <c r="G103" s="218"/>
      <c r="H103" s="218"/>
    </row>
    <row r="104" spans="1:10" ht="21">
      <c r="A104" s="225" t="s">
        <v>164</v>
      </c>
      <c r="B104" s="225" t="s">
        <v>27</v>
      </c>
      <c r="C104" s="225" t="s">
        <v>24</v>
      </c>
      <c r="D104" s="225" t="s">
        <v>174</v>
      </c>
      <c r="E104" s="157"/>
      <c r="F104" s="157"/>
      <c r="G104" s="157"/>
      <c r="H104" s="157"/>
      <c r="I104" s="157"/>
      <c r="J104" s="157"/>
    </row>
    <row r="105" spans="1:10" ht="21">
      <c r="A105" s="236" t="s">
        <v>32</v>
      </c>
      <c r="B105" s="237"/>
      <c r="C105" s="238"/>
      <c r="D105" s="238"/>
      <c r="E105" s="157"/>
      <c r="F105" s="157"/>
      <c r="G105" s="157"/>
      <c r="H105" s="157"/>
      <c r="I105" s="157"/>
      <c r="J105" s="157"/>
    </row>
    <row r="106" spans="1:10" ht="21">
      <c r="A106" s="226">
        <v>1</v>
      </c>
      <c r="B106" s="241" t="s">
        <v>175</v>
      </c>
      <c r="C106" s="242">
        <v>3767.28</v>
      </c>
      <c r="D106" s="242">
        <v>3767.28</v>
      </c>
      <c r="E106" s="157"/>
      <c r="F106" s="157"/>
      <c r="G106" s="159"/>
      <c r="H106" s="157"/>
      <c r="I106" s="157"/>
      <c r="J106" s="157"/>
    </row>
    <row r="107" spans="1:10" ht="21">
      <c r="A107" s="226">
        <v>2</v>
      </c>
      <c r="B107" s="241" t="s">
        <v>195</v>
      </c>
      <c r="C107" s="242">
        <v>686285.04</v>
      </c>
      <c r="D107" s="242">
        <v>686285.04</v>
      </c>
      <c r="E107" s="157"/>
      <c r="F107" s="157"/>
      <c r="G107" s="159"/>
      <c r="H107" s="157"/>
      <c r="I107" s="157"/>
      <c r="J107" s="157"/>
    </row>
    <row r="108" spans="1:10" ht="21">
      <c r="A108" s="226">
        <v>3</v>
      </c>
      <c r="B108" s="241" t="s">
        <v>196</v>
      </c>
      <c r="C108" s="242">
        <v>116606.8</v>
      </c>
      <c r="D108" s="242">
        <v>116606.8</v>
      </c>
      <c r="E108" s="157"/>
      <c r="F108" s="157"/>
      <c r="G108" s="159"/>
      <c r="H108" s="157"/>
      <c r="I108" s="157"/>
      <c r="J108" s="157"/>
    </row>
    <row r="109" spans="1:10" ht="21">
      <c r="A109" s="226">
        <v>4</v>
      </c>
      <c r="B109" s="241" t="s">
        <v>176</v>
      </c>
      <c r="C109" s="242">
        <v>51144.17</v>
      </c>
      <c r="D109" s="242">
        <v>51144.17</v>
      </c>
      <c r="E109" s="157"/>
      <c r="F109" s="157"/>
      <c r="G109" s="159"/>
      <c r="H109" s="157"/>
      <c r="I109" s="157"/>
      <c r="J109" s="157"/>
    </row>
    <row r="110" spans="1:10" ht="21">
      <c r="A110" s="226">
        <v>5</v>
      </c>
      <c r="B110" s="241" t="s">
        <v>177</v>
      </c>
      <c r="C110" s="242">
        <v>149588.32</v>
      </c>
      <c r="D110" s="242">
        <v>149588.32</v>
      </c>
      <c r="E110" s="157"/>
      <c r="F110" s="157"/>
      <c r="G110" s="159"/>
      <c r="H110" s="157"/>
      <c r="I110" s="157"/>
      <c r="J110" s="157"/>
    </row>
    <row r="111" spans="1:10" ht="21">
      <c r="A111" s="226">
        <v>6</v>
      </c>
      <c r="B111" s="241" t="s">
        <v>178</v>
      </c>
      <c r="C111" s="246">
        <v>14962</v>
      </c>
      <c r="D111" s="246">
        <v>14962</v>
      </c>
      <c r="E111" s="157"/>
      <c r="F111" s="157"/>
      <c r="G111" s="159"/>
      <c r="H111" s="157"/>
      <c r="I111" s="157"/>
      <c r="J111" s="157"/>
    </row>
    <row r="112" spans="1:10" ht="21">
      <c r="A112" s="241"/>
      <c r="B112" s="243"/>
      <c r="C112" s="248">
        <f>SUM(C106:C111)</f>
        <v>1022353.6100000001</v>
      </c>
      <c r="D112" s="248">
        <f>SUM(D106:D111)</f>
        <v>1022353.6100000001</v>
      </c>
      <c r="E112" s="157"/>
      <c r="F112" s="157"/>
      <c r="G112" s="160"/>
      <c r="H112" s="157"/>
      <c r="I112" s="157"/>
      <c r="J112" s="157"/>
    </row>
    <row r="113" spans="1:10" ht="21">
      <c r="A113" s="244" t="s">
        <v>33</v>
      </c>
      <c r="B113" s="243"/>
      <c r="C113" s="247"/>
      <c r="D113" s="247"/>
      <c r="E113" s="157"/>
      <c r="F113" s="157"/>
      <c r="G113" s="159"/>
      <c r="H113" s="157"/>
      <c r="I113" s="157"/>
      <c r="J113" s="157"/>
    </row>
    <row r="114" spans="1:10" ht="21">
      <c r="A114" s="226">
        <v>1</v>
      </c>
      <c r="B114" s="241" t="s">
        <v>197</v>
      </c>
      <c r="C114" s="242">
        <v>225</v>
      </c>
      <c r="D114" s="242">
        <v>225</v>
      </c>
      <c r="E114" s="157"/>
      <c r="F114" s="157"/>
      <c r="G114" s="159"/>
      <c r="H114" s="157"/>
      <c r="I114" s="157"/>
      <c r="J114" s="157"/>
    </row>
    <row r="115" spans="1:10" ht="21">
      <c r="A115" s="226">
        <v>2</v>
      </c>
      <c r="B115" s="241" t="s">
        <v>198</v>
      </c>
      <c r="C115" s="242">
        <v>7980</v>
      </c>
      <c r="D115" s="242">
        <v>7980</v>
      </c>
      <c r="E115" s="157"/>
      <c r="F115" s="157"/>
      <c r="G115" s="160"/>
      <c r="H115" s="157"/>
      <c r="I115" s="157"/>
      <c r="J115" s="157"/>
    </row>
    <row r="116" spans="1:10" ht="21">
      <c r="A116" s="226">
        <v>3</v>
      </c>
      <c r="B116" s="241" t="s">
        <v>199</v>
      </c>
      <c r="C116" s="246">
        <v>1005</v>
      </c>
      <c r="D116" s="246">
        <v>1005</v>
      </c>
      <c r="E116" s="157"/>
      <c r="F116" s="157"/>
      <c r="G116" s="160"/>
      <c r="H116" s="157"/>
      <c r="I116" s="157"/>
      <c r="J116" s="157"/>
    </row>
    <row r="117" spans="1:10" ht="21">
      <c r="A117" s="241"/>
      <c r="B117" s="243"/>
      <c r="C117" s="248">
        <f>SUM(C114:C116)</f>
        <v>9210</v>
      </c>
      <c r="D117" s="248">
        <f>SUM(D114:D116)</f>
        <v>9210</v>
      </c>
      <c r="E117" s="157"/>
      <c r="F117" s="157"/>
      <c r="G117" s="160"/>
      <c r="H117" s="157"/>
      <c r="I117" s="157"/>
      <c r="J117" s="157"/>
    </row>
    <row r="118" spans="1:10" ht="21">
      <c r="A118" s="244" t="s">
        <v>34</v>
      </c>
      <c r="B118" s="243"/>
      <c r="C118" s="247"/>
      <c r="D118" s="247"/>
      <c r="E118" s="157"/>
      <c r="F118" s="157"/>
      <c r="G118" s="160"/>
      <c r="H118" s="157"/>
      <c r="I118" s="157"/>
      <c r="J118" s="157"/>
    </row>
    <row r="119" spans="1:10" ht="21">
      <c r="A119" s="241"/>
      <c r="B119" s="243"/>
      <c r="C119" s="249"/>
      <c r="D119" s="249"/>
      <c r="E119" s="157"/>
      <c r="F119" s="157"/>
      <c r="G119" s="160"/>
      <c r="H119" s="157"/>
      <c r="I119" s="157"/>
      <c r="J119" s="157"/>
    </row>
    <row r="120" spans="1:10" ht="21">
      <c r="A120" s="241"/>
      <c r="B120" s="243"/>
      <c r="C120" s="248">
        <f>SUM(C119)</f>
        <v>0</v>
      </c>
      <c r="D120" s="248">
        <f>SUM(D119)</f>
        <v>0</v>
      </c>
      <c r="E120" s="157"/>
      <c r="F120" s="157"/>
      <c r="G120" s="160"/>
      <c r="H120" s="157"/>
      <c r="I120" s="157"/>
      <c r="J120" s="157"/>
    </row>
    <row r="121" spans="1:10" ht="21">
      <c r="A121" s="244" t="s">
        <v>35</v>
      </c>
      <c r="B121" s="243"/>
      <c r="C121" s="247"/>
      <c r="D121" s="247"/>
      <c r="E121" s="157"/>
      <c r="F121" s="157"/>
      <c r="G121" s="160"/>
      <c r="H121" s="157"/>
      <c r="I121" s="157"/>
      <c r="J121" s="157"/>
    </row>
    <row r="122" spans="1:10" ht="21">
      <c r="A122" s="226">
        <v>1</v>
      </c>
      <c r="B122" s="241" t="s">
        <v>200</v>
      </c>
      <c r="C122" s="249">
        <v>9756</v>
      </c>
      <c r="D122" s="249">
        <v>9756</v>
      </c>
      <c r="E122" s="157"/>
      <c r="F122" s="157"/>
      <c r="G122" s="160"/>
      <c r="H122" s="157"/>
      <c r="I122" s="157"/>
      <c r="J122" s="157"/>
    </row>
    <row r="123" spans="1:10" ht="21">
      <c r="A123" s="226"/>
      <c r="B123" s="241"/>
      <c r="C123" s="248">
        <f>SUM(C122)</f>
        <v>9756</v>
      </c>
      <c r="D123" s="248">
        <f>SUM(D122)</f>
        <v>9756</v>
      </c>
      <c r="E123" s="157"/>
      <c r="F123" s="157"/>
      <c r="G123" s="160"/>
      <c r="H123" s="157"/>
      <c r="I123" s="157"/>
      <c r="J123" s="157"/>
    </row>
    <row r="124" spans="1:10" ht="21">
      <c r="A124" s="244" t="s">
        <v>36</v>
      </c>
      <c r="B124" s="243"/>
      <c r="C124" s="247"/>
      <c r="D124" s="247"/>
      <c r="E124" s="157"/>
      <c r="F124" s="157"/>
      <c r="G124" s="160"/>
      <c r="H124" s="157"/>
      <c r="I124" s="157"/>
      <c r="J124" s="157"/>
    </row>
    <row r="125" spans="1:10" ht="21">
      <c r="A125" s="226">
        <v>1</v>
      </c>
      <c r="B125" s="241" t="s">
        <v>36</v>
      </c>
      <c r="C125" s="249">
        <v>400</v>
      </c>
      <c r="D125" s="249">
        <v>400</v>
      </c>
      <c r="E125" s="157"/>
      <c r="F125" s="157"/>
      <c r="G125" s="160"/>
      <c r="H125" s="157"/>
      <c r="I125" s="157"/>
      <c r="J125" s="157"/>
    </row>
    <row r="126" spans="1:10" ht="21">
      <c r="A126" s="241"/>
      <c r="B126" s="243"/>
      <c r="C126" s="248">
        <f>SUM(C125)</f>
        <v>400</v>
      </c>
      <c r="D126" s="248">
        <f>SUM(D125)</f>
        <v>400</v>
      </c>
      <c r="E126" s="157"/>
      <c r="F126" s="157"/>
      <c r="G126" s="160"/>
      <c r="H126" s="157"/>
      <c r="I126" s="157"/>
      <c r="J126" s="157"/>
    </row>
    <row r="127" spans="1:10" ht="21">
      <c r="A127" s="244" t="s">
        <v>39</v>
      </c>
      <c r="B127" s="243"/>
      <c r="C127" s="250"/>
      <c r="D127" s="250"/>
      <c r="E127" s="157"/>
      <c r="F127" s="157"/>
      <c r="G127" s="159"/>
      <c r="H127" s="157"/>
      <c r="I127" s="157"/>
      <c r="J127" s="157"/>
    </row>
    <row r="128" spans="1:10" ht="21">
      <c r="A128" s="226">
        <v>1</v>
      </c>
      <c r="B128" s="241" t="s">
        <v>201</v>
      </c>
      <c r="C128" s="246">
        <v>1795000</v>
      </c>
      <c r="D128" s="246">
        <v>1795000</v>
      </c>
      <c r="E128" s="157"/>
      <c r="F128" s="157"/>
      <c r="G128" s="160"/>
      <c r="H128" s="157"/>
      <c r="I128" s="157"/>
      <c r="J128" s="157"/>
    </row>
    <row r="129" spans="1:10" ht="21">
      <c r="A129" s="241"/>
      <c r="B129" s="243"/>
      <c r="C129" s="251">
        <f>SUM(C128)</f>
        <v>1795000</v>
      </c>
      <c r="D129" s="251">
        <f>SUM(D128)</f>
        <v>1795000</v>
      </c>
      <c r="E129" s="157"/>
      <c r="F129" s="157"/>
      <c r="G129" s="160"/>
      <c r="H129" s="157"/>
      <c r="I129" s="157"/>
      <c r="J129" s="157"/>
    </row>
    <row r="130" spans="1:10" ht="21.75" thickBot="1">
      <c r="A130" s="239"/>
      <c r="B130" s="240"/>
      <c r="C130" s="245">
        <f>C112+C117+C120+C123+C126+C129</f>
        <v>2836719.6100000003</v>
      </c>
      <c r="D130" s="245">
        <f>D112+D117+D120+D123+D126+D129</f>
        <v>2836719.6100000003</v>
      </c>
      <c r="E130" s="157"/>
      <c r="F130" s="157"/>
      <c r="G130" s="160"/>
      <c r="H130" s="157"/>
      <c r="I130" s="157"/>
      <c r="J130" s="157"/>
    </row>
    <row r="131" spans="1:10" ht="21.75" thickTop="1">
      <c r="A131" s="158"/>
      <c r="B131" s="157"/>
      <c r="C131" s="157"/>
      <c r="D131" s="157"/>
      <c r="E131" s="157"/>
      <c r="F131" s="157"/>
      <c r="G131" s="160"/>
      <c r="H131" s="157"/>
      <c r="I131" s="157"/>
      <c r="J131" s="157"/>
    </row>
    <row r="132" spans="1:10" ht="23.25">
      <c r="A132" s="158"/>
      <c r="B132" s="71"/>
      <c r="C132" s="134" t="s">
        <v>100</v>
      </c>
      <c r="D132" s="71"/>
      <c r="E132" s="157"/>
      <c r="F132" s="157"/>
      <c r="G132" s="160"/>
      <c r="H132" s="157"/>
      <c r="I132" s="157"/>
      <c r="J132" s="157"/>
    </row>
    <row r="133" spans="1:10" ht="23.25">
      <c r="A133" s="158"/>
      <c r="B133" s="71"/>
      <c r="C133" s="71"/>
      <c r="D133" s="71"/>
      <c r="E133" s="157"/>
      <c r="F133" s="157"/>
      <c r="G133" s="160"/>
      <c r="H133" s="157"/>
      <c r="I133" s="157"/>
      <c r="J133" s="157"/>
    </row>
    <row r="134" spans="1:10" ht="23.25">
      <c r="A134" s="158"/>
      <c r="B134" s="71"/>
      <c r="C134" s="134"/>
      <c r="D134" s="71"/>
      <c r="E134" s="157"/>
      <c r="F134" s="157"/>
      <c r="G134" s="160"/>
      <c r="H134" s="157"/>
      <c r="I134" s="157"/>
      <c r="J134" s="157"/>
    </row>
    <row r="135" spans="1:10" ht="23.25">
      <c r="A135" s="158"/>
      <c r="B135" s="71"/>
      <c r="C135" s="134"/>
      <c r="D135" s="71"/>
      <c r="E135" s="157"/>
      <c r="F135" s="157"/>
      <c r="G135" s="160"/>
      <c r="H135" s="157"/>
      <c r="I135" s="157"/>
      <c r="J135" s="157"/>
    </row>
    <row r="136" spans="1:10" ht="21">
      <c r="A136" s="158"/>
      <c r="B136" s="157"/>
      <c r="C136" s="157"/>
      <c r="D136" s="157"/>
      <c r="E136" s="157"/>
      <c r="F136" s="157"/>
      <c r="G136" s="159"/>
      <c r="H136" s="157"/>
      <c r="I136" s="157"/>
      <c r="J136" s="157"/>
    </row>
    <row r="137" ht="21">
      <c r="F137" s="90"/>
    </row>
    <row r="139" ht="21">
      <c r="F139" s="90"/>
    </row>
    <row r="140" ht="21">
      <c r="F140" s="90"/>
    </row>
    <row r="141" ht="21">
      <c r="F141" s="90"/>
    </row>
    <row r="142" ht="21">
      <c r="F142" s="90"/>
    </row>
    <row r="143" ht="21">
      <c r="F143" s="90"/>
    </row>
    <row r="144" ht="21">
      <c r="F144" s="90"/>
    </row>
    <row r="145" ht="21">
      <c r="F145" s="90"/>
    </row>
    <row r="146" ht="21">
      <c r="F146" s="90"/>
    </row>
    <row r="147" ht="21">
      <c r="F147" s="90"/>
    </row>
    <row r="148" ht="21">
      <c r="F148" s="90"/>
    </row>
    <row r="149" ht="21">
      <c r="F149" s="90"/>
    </row>
    <row r="150" ht="21">
      <c r="F150" s="90"/>
    </row>
    <row r="151" ht="21">
      <c r="F151" s="90"/>
    </row>
    <row r="152" ht="21">
      <c r="F152" s="90"/>
    </row>
  </sheetData>
  <mergeCells count="16">
    <mergeCell ref="A68:E68"/>
    <mergeCell ref="A69:E69"/>
    <mergeCell ref="A70:E70"/>
    <mergeCell ref="A71:E71"/>
    <mergeCell ref="A34:E34"/>
    <mergeCell ref="A35:E35"/>
    <mergeCell ref="A36:E36"/>
    <mergeCell ref="A37:E37"/>
    <mergeCell ref="A1:E1"/>
    <mergeCell ref="A2:E2"/>
    <mergeCell ref="A3:E3"/>
    <mergeCell ref="A4:E4"/>
    <mergeCell ref="A100:E100"/>
    <mergeCell ref="A101:E101"/>
    <mergeCell ref="A102:E102"/>
    <mergeCell ref="A103:E103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"/>
  <sheetViews>
    <sheetView view="pageBreakPreview" zoomScaleSheetLayoutView="100" workbookViewId="0" topLeftCell="A1">
      <selection activeCell="A82" sqref="A82"/>
    </sheetView>
  </sheetViews>
  <sheetFormatPr defaultColWidth="9.140625" defaultRowHeight="21.75"/>
  <cols>
    <col min="1" max="1" width="16.140625" style="64" bestFit="1" customWidth="1"/>
    <col min="2" max="3" width="11.140625" style="64" bestFit="1" customWidth="1"/>
    <col min="4" max="4" width="13.57421875" style="64" customWidth="1"/>
    <col min="5" max="5" width="8.140625" style="64" bestFit="1" customWidth="1"/>
    <col min="6" max="6" width="11.140625" style="64" customWidth="1"/>
    <col min="7" max="7" width="9.8515625" style="64" bestFit="1" customWidth="1"/>
    <col min="8" max="10" width="11.140625" style="64" bestFit="1" customWidth="1"/>
    <col min="11" max="15" width="9.8515625" style="64" bestFit="1" customWidth="1"/>
    <col min="16" max="16" width="11.140625" style="64" bestFit="1" customWidth="1"/>
    <col min="17" max="17" width="12.00390625" style="64" bestFit="1" customWidth="1"/>
    <col min="18" max="18" width="9.140625" style="64" customWidth="1"/>
    <col min="19" max="19" width="12.00390625" style="64" bestFit="1" customWidth="1"/>
    <col min="20" max="16384" width="9.140625" style="64" customWidth="1"/>
  </cols>
  <sheetData>
    <row r="1" spans="1:17" ht="23.25">
      <c r="A1" s="378" t="s">
        <v>13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1:17" ht="23.25">
      <c r="A2" s="378" t="s">
        <v>14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</row>
    <row r="3" spans="1:17" ht="24" thickBot="1">
      <c r="A3" s="379" t="s">
        <v>243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</row>
    <row r="4" spans="1:17" s="55" customFormat="1" ht="18.75">
      <c r="A4" s="50" t="s">
        <v>15</v>
      </c>
      <c r="B4" s="375" t="s">
        <v>81</v>
      </c>
      <c r="C4" s="376"/>
      <c r="D4" s="375" t="s">
        <v>84</v>
      </c>
      <c r="E4" s="376"/>
      <c r="F4" s="51" t="s">
        <v>90</v>
      </c>
      <c r="G4" s="51" t="s">
        <v>91</v>
      </c>
      <c r="H4" s="52" t="s">
        <v>94</v>
      </c>
      <c r="I4" s="375" t="s">
        <v>85</v>
      </c>
      <c r="J4" s="376"/>
      <c r="K4" s="53" t="s">
        <v>95</v>
      </c>
      <c r="L4" s="375" t="s">
        <v>86</v>
      </c>
      <c r="M4" s="377"/>
      <c r="N4" s="53" t="s">
        <v>98</v>
      </c>
      <c r="O4" s="53" t="s">
        <v>110</v>
      </c>
      <c r="P4" s="51" t="s">
        <v>79</v>
      </c>
      <c r="Q4" s="54" t="s">
        <v>16</v>
      </c>
    </row>
    <row r="5" spans="1:17" s="55" customFormat="1" ht="19.5" thickBot="1">
      <c r="A5" s="56" t="s">
        <v>17</v>
      </c>
      <c r="B5" s="58" t="s">
        <v>82</v>
      </c>
      <c r="C5" s="59" t="s">
        <v>83</v>
      </c>
      <c r="D5" s="57" t="s">
        <v>75</v>
      </c>
      <c r="E5" s="57" t="s">
        <v>76</v>
      </c>
      <c r="F5" s="58" t="s">
        <v>89</v>
      </c>
      <c r="G5" s="58" t="s">
        <v>92</v>
      </c>
      <c r="H5" s="61" t="s">
        <v>93</v>
      </c>
      <c r="I5" s="57" t="s">
        <v>77</v>
      </c>
      <c r="J5" s="57" t="s">
        <v>78</v>
      </c>
      <c r="K5" s="62" t="s">
        <v>96</v>
      </c>
      <c r="L5" s="59" t="s">
        <v>134</v>
      </c>
      <c r="M5" s="60" t="s">
        <v>87</v>
      </c>
      <c r="N5" s="62" t="s">
        <v>97</v>
      </c>
      <c r="O5" s="62" t="s">
        <v>111</v>
      </c>
      <c r="P5" s="57" t="s">
        <v>80</v>
      </c>
      <c r="Q5" s="63"/>
    </row>
    <row r="6" spans="1:17" s="184" customFormat="1" ht="21" customHeight="1">
      <c r="A6" s="179" t="s">
        <v>250</v>
      </c>
      <c r="B6" s="180"/>
      <c r="C6" s="181"/>
      <c r="D6" s="180"/>
      <c r="E6" s="180"/>
      <c r="F6" s="181"/>
      <c r="G6" s="181"/>
      <c r="H6" s="182"/>
      <c r="I6" s="180"/>
      <c r="J6" s="180"/>
      <c r="K6" s="183"/>
      <c r="L6" s="180"/>
      <c r="M6" s="182"/>
      <c r="N6" s="183"/>
      <c r="O6" s="183"/>
      <c r="P6" s="180"/>
      <c r="Q6" s="183"/>
    </row>
    <row r="7" spans="1:17" s="184" customFormat="1" ht="21" customHeight="1">
      <c r="A7" s="185" t="s">
        <v>155</v>
      </c>
      <c r="B7" s="187">
        <v>0</v>
      </c>
      <c r="C7" s="188">
        <v>0</v>
      </c>
      <c r="D7" s="187">
        <v>0</v>
      </c>
      <c r="E7" s="187">
        <v>0</v>
      </c>
      <c r="F7" s="187">
        <v>0</v>
      </c>
      <c r="G7" s="187">
        <v>0</v>
      </c>
      <c r="H7" s="187">
        <v>0</v>
      </c>
      <c r="I7" s="187">
        <v>0</v>
      </c>
      <c r="J7" s="187">
        <v>0</v>
      </c>
      <c r="K7" s="187">
        <v>0</v>
      </c>
      <c r="L7" s="187">
        <v>0</v>
      </c>
      <c r="M7" s="187">
        <v>0</v>
      </c>
      <c r="N7" s="187">
        <v>0</v>
      </c>
      <c r="O7" s="187">
        <v>0</v>
      </c>
      <c r="P7" s="186">
        <v>0</v>
      </c>
      <c r="Q7" s="187">
        <f aca="true" t="shared" si="0" ref="Q7:Q15">SUM(B7:O7)</f>
        <v>0</v>
      </c>
    </row>
    <row r="8" spans="1:17" s="184" customFormat="1" ht="21" customHeight="1">
      <c r="A8" s="185" t="s">
        <v>244</v>
      </c>
      <c r="B8" s="187">
        <v>0</v>
      </c>
      <c r="C8" s="188">
        <v>0</v>
      </c>
      <c r="D8" s="187">
        <v>0</v>
      </c>
      <c r="E8" s="187">
        <v>0</v>
      </c>
      <c r="F8" s="187">
        <v>0</v>
      </c>
      <c r="G8" s="187">
        <v>0</v>
      </c>
      <c r="H8" s="187">
        <v>0</v>
      </c>
      <c r="I8" s="187">
        <v>0</v>
      </c>
      <c r="J8" s="187">
        <v>0</v>
      </c>
      <c r="K8" s="187">
        <v>0</v>
      </c>
      <c r="L8" s="187">
        <v>0</v>
      </c>
      <c r="M8" s="187">
        <v>0</v>
      </c>
      <c r="N8" s="187">
        <v>0</v>
      </c>
      <c r="O8" s="187">
        <v>0</v>
      </c>
      <c r="P8" s="186">
        <v>0</v>
      </c>
      <c r="Q8" s="187">
        <f t="shared" si="0"/>
        <v>0</v>
      </c>
    </row>
    <row r="9" spans="1:17" s="184" customFormat="1" ht="21" customHeight="1">
      <c r="A9" s="185" t="s">
        <v>245</v>
      </c>
      <c r="B9" s="187">
        <v>0</v>
      </c>
      <c r="C9" s="188">
        <v>0</v>
      </c>
      <c r="D9" s="187">
        <v>0</v>
      </c>
      <c r="E9" s="187">
        <v>0</v>
      </c>
      <c r="F9" s="187">
        <v>0</v>
      </c>
      <c r="G9" s="187">
        <v>0</v>
      </c>
      <c r="H9" s="187">
        <v>0</v>
      </c>
      <c r="I9" s="187">
        <v>0</v>
      </c>
      <c r="J9" s="187">
        <v>0</v>
      </c>
      <c r="K9" s="187">
        <v>0</v>
      </c>
      <c r="L9" s="187">
        <v>0</v>
      </c>
      <c r="M9" s="187">
        <v>0</v>
      </c>
      <c r="N9" s="187">
        <v>0</v>
      </c>
      <c r="O9" s="187">
        <v>0</v>
      </c>
      <c r="P9" s="186">
        <v>0</v>
      </c>
      <c r="Q9" s="187">
        <f t="shared" si="0"/>
        <v>0</v>
      </c>
    </row>
    <row r="10" spans="1:17" s="184" customFormat="1" ht="21" customHeight="1">
      <c r="A10" s="185" t="s">
        <v>246</v>
      </c>
      <c r="B10" s="187">
        <v>0</v>
      </c>
      <c r="C10" s="188">
        <v>0</v>
      </c>
      <c r="D10" s="187">
        <v>0</v>
      </c>
      <c r="E10" s="187">
        <v>0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187">
        <v>0</v>
      </c>
      <c r="O10" s="187">
        <v>0</v>
      </c>
      <c r="P10" s="186">
        <v>0</v>
      </c>
      <c r="Q10" s="187">
        <f t="shared" si="0"/>
        <v>0</v>
      </c>
    </row>
    <row r="11" spans="1:17" s="184" customFormat="1" ht="21" customHeight="1">
      <c r="A11" s="185" t="s">
        <v>247</v>
      </c>
      <c r="B11" s="187">
        <v>0</v>
      </c>
      <c r="C11" s="188">
        <v>0</v>
      </c>
      <c r="D11" s="187">
        <v>0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 s="187">
        <v>0</v>
      </c>
      <c r="P11" s="186">
        <v>0</v>
      </c>
      <c r="Q11" s="187">
        <f t="shared" si="0"/>
        <v>0</v>
      </c>
    </row>
    <row r="12" spans="1:17" s="184" customFormat="1" ht="21" customHeight="1">
      <c r="A12" s="185" t="s">
        <v>248</v>
      </c>
      <c r="B12" s="187">
        <v>0</v>
      </c>
      <c r="C12" s="188">
        <v>0</v>
      </c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187">
        <v>0</v>
      </c>
      <c r="O12" s="187">
        <v>0</v>
      </c>
      <c r="P12" s="186">
        <v>0</v>
      </c>
      <c r="Q12" s="187">
        <f t="shared" si="0"/>
        <v>0</v>
      </c>
    </row>
    <row r="13" spans="1:17" s="184" customFormat="1" ht="21" customHeight="1">
      <c r="A13" s="185" t="s">
        <v>249</v>
      </c>
      <c r="B13" s="187">
        <v>0</v>
      </c>
      <c r="C13" s="188">
        <v>0</v>
      </c>
      <c r="D13" s="187">
        <v>0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87">
        <v>0</v>
      </c>
      <c r="P13" s="186">
        <v>0</v>
      </c>
      <c r="Q13" s="187">
        <f t="shared" si="0"/>
        <v>0</v>
      </c>
    </row>
    <row r="14" spans="1:17" ht="18.75">
      <c r="A14" s="66" t="s">
        <v>18</v>
      </c>
      <c r="B14" s="67">
        <f aca="true" t="shared" si="1" ref="B14:O14">SUM(B7:B13)</f>
        <v>0</v>
      </c>
      <c r="C14" s="67">
        <f t="shared" si="1"/>
        <v>0</v>
      </c>
      <c r="D14" s="67">
        <f t="shared" si="1"/>
        <v>0</v>
      </c>
      <c r="E14" s="67">
        <f t="shared" si="1"/>
        <v>0</v>
      </c>
      <c r="F14" s="67">
        <f t="shared" si="1"/>
        <v>0</v>
      </c>
      <c r="G14" s="67">
        <f t="shared" si="1"/>
        <v>0</v>
      </c>
      <c r="H14" s="67">
        <f t="shared" si="1"/>
        <v>0</v>
      </c>
      <c r="I14" s="67">
        <f t="shared" si="1"/>
        <v>0</v>
      </c>
      <c r="J14" s="67">
        <f t="shared" si="1"/>
        <v>0</v>
      </c>
      <c r="K14" s="67">
        <f t="shared" si="1"/>
        <v>0</v>
      </c>
      <c r="L14" s="67">
        <f t="shared" si="1"/>
        <v>0</v>
      </c>
      <c r="M14" s="67">
        <f t="shared" si="1"/>
        <v>0</v>
      </c>
      <c r="N14" s="67">
        <f t="shared" si="1"/>
        <v>0</v>
      </c>
      <c r="O14" s="67">
        <f t="shared" si="1"/>
        <v>0</v>
      </c>
      <c r="P14" s="67">
        <f>SUM(P7:P13)</f>
        <v>0</v>
      </c>
      <c r="Q14" s="65">
        <f t="shared" si="0"/>
        <v>0</v>
      </c>
    </row>
    <row r="15" spans="1:17" s="77" customFormat="1" ht="18.75">
      <c r="A15" s="72" t="s">
        <v>19</v>
      </c>
      <c r="B15" s="75">
        <f>0</f>
        <v>0</v>
      </c>
      <c r="C15" s="75">
        <f>0</f>
        <v>0</v>
      </c>
      <c r="D15" s="75">
        <f>0</f>
        <v>0</v>
      </c>
      <c r="E15" s="75">
        <f>0</f>
        <v>0</v>
      </c>
      <c r="F15" s="75">
        <f>0</f>
        <v>0</v>
      </c>
      <c r="G15" s="75">
        <f>0</f>
        <v>0</v>
      </c>
      <c r="H15" s="75">
        <f>0</f>
        <v>0</v>
      </c>
      <c r="I15" s="75">
        <f>0</f>
        <v>0</v>
      </c>
      <c r="J15" s="75">
        <f>0</f>
        <v>0</v>
      </c>
      <c r="K15" s="75">
        <f>0</f>
        <v>0</v>
      </c>
      <c r="L15" s="75">
        <f>0</f>
        <v>0</v>
      </c>
      <c r="M15" s="75">
        <f>0</f>
        <v>0</v>
      </c>
      <c r="N15" s="75">
        <f>0</f>
        <v>0</v>
      </c>
      <c r="O15" s="75">
        <f>0</f>
        <v>0</v>
      </c>
      <c r="P15" s="75">
        <v>0</v>
      </c>
      <c r="Q15" s="76">
        <f t="shared" si="0"/>
        <v>0</v>
      </c>
    </row>
    <row r="16" spans="1:17" s="184" customFormat="1" ht="21" customHeight="1">
      <c r="A16" s="192">
        <v>521000</v>
      </c>
      <c r="B16" s="193"/>
      <c r="C16" s="194"/>
      <c r="D16" s="193"/>
      <c r="E16" s="193"/>
      <c r="F16" s="194"/>
      <c r="G16" s="194"/>
      <c r="H16" s="193"/>
      <c r="I16" s="193"/>
      <c r="J16" s="193"/>
      <c r="K16" s="187"/>
      <c r="L16" s="193"/>
      <c r="M16" s="193"/>
      <c r="N16" s="187"/>
      <c r="O16" s="187"/>
      <c r="P16" s="190"/>
      <c r="Q16" s="187"/>
    </row>
    <row r="17" spans="1:17" s="184" customFormat="1" ht="21" customHeight="1">
      <c r="A17" s="195">
        <v>210100</v>
      </c>
      <c r="B17" s="186">
        <v>17200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7">
        <f aca="true" t="shared" si="2" ref="Q17:Q23">SUM(B17:O17)</f>
        <v>17200</v>
      </c>
    </row>
    <row r="18" spans="1:17" s="184" customFormat="1" ht="21" customHeight="1">
      <c r="A18" s="195">
        <v>210200</v>
      </c>
      <c r="B18" s="186">
        <v>3200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7">
        <f t="shared" si="2"/>
        <v>3200</v>
      </c>
    </row>
    <row r="19" spans="1:17" s="184" customFormat="1" ht="21" customHeight="1">
      <c r="A19" s="195">
        <v>210300</v>
      </c>
      <c r="B19" s="186">
        <v>3200</v>
      </c>
      <c r="C19" s="186">
        <v>0</v>
      </c>
      <c r="D19" s="186">
        <v>0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7">
        <f t="shared" si="2"/>
        <v>3200</v>
      </c>
    </row>
    <row r="20" spans="1:17" s="184" customFormat="1" ht="21" customHeight="1">
      <c r="A20" s="195">
        <v>210400</v>
      </c>
      <c r="B20" s="186">
        <v>0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7">
        <f t="shared" si="2"/>
        <v>0</v>
      </c>
    </row>
    <row r="21" spans="1:17" s="184" customFormat="1" ht="21" customHeight="1">
      <c r="A21" s="195">
        <v>210600</v>
      </c>
      <c r="B21" s="186">
        <v>88650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7">
        <f t="shared" si="2"/>
        <v>88650</v>
      </c>
    </row>
    <row r="22" spans="1:17" ht="18.75">
      <c r="A22" s="66" t="s">
        <v>18</v>
      </c>
      <c r="B22" s="67">
        <f aca="true" t="shared" si="3" ref="B22:O22">SUM(B17:B21)</f>
        <v>112250</v>
      </c>
      <c r="C22" s="67">
        <f t="shared" si="3"/>
        <v>0</v>
      </c>
      <c r="D22" s="67">
        <f t="shared" si="3"/>
        <v>0</v>
      </c>
      <c r="E22" s="67">
        <f t="shared" si="3"/>
        <v>0</v>
      </c>
      <c r="F22" s="67">
        <f t="shared" si="3"/>
        <v>0</v>
      </c>
      <c r="G22" s="67">
        <f t="shared" si="3"/>
        <v>0</v>
      </c>
      <c r="H22" s="67">
        <f t="shared" si="3"/>
        <v>0</v>
      </c>
      <c r="I22" s="67">
        <f t="shared" si="3"/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>SUM(P17:P21)</f>
        <v>0</v>
      </c>
      <c r="Q22" s="65">
        <f t="shared" si="2"/>
        <v>112250</v>
      </c>
    </row>
    <row r="23" spans="1:17" s="77" customFormat="1" ht="18.75">
      <c r="A23" s="72" t="s">
        <v>19</v>
      </c>
      <c r="B23" s="75">
        <v>112250</v>
      </c>
      <c r="C23" s="75">
        <v>0</v>
      </c>
      <c r="D23" s="75">
        <f>0</f>
        <v>0</v>
      </c>
      <c r="E23" s="75">
        <f>0</f>
        <v>0</v>
      </c>
      <c r="F23" s="75">
        <f>0</f>
        <v>0</v>
      </c>
      <c r="G23" s="75">
        <f>0</f>
        <v>0</v>
      </c>
      <c r="H23" s="75">
        <f>0</f>
        <v>0</v>
      </c>
      <c r="I23" s="75">
        <v>0</v>
      </c>
      <c r="J23" s="75">
        <f>0</f>
        <v>0</v>
      </c>
      <c r="K23" s="75">
        <f>0</f>
        <v>0</v>
      </c>
      <c r="L23" s="75">
        <f>0</f>
        <v>0</v>
      </c>
      <c r="M23" s="75">
        <f>0</f>
        <v>0</v>
      </c>
      <c r="N23" s="75">
        <f>0</f>
        <v>0</v>
      </c>
      <c r="O23" s="75">
        <f>0</f>
        <v>0</v>
      </c>
      <c r="P23" s="75">
        <f>0</f>
        <v>0</v>
      </c>
      <c r="Q23" s="76">
        <f t="shared" si="2"/>
        <v>112250</v>
      </c>
    </row>
    <row r="24" spans="1:17" s="184" customFormat="1" ht="21" customHeight="1">
      <c r="A24" s="192">
        <v>522000</v>
      </c>
      <c r="B24" s="193"/>
      <c r="C24" s="194"/>
      <c r="D24" s="193"/>
      <c r="E24" s="193"/>
      <c r="F24" s="194"/>
      <c r="G24" s="194"/>
      <c r="H24" s="193"/>
      <c r="I24" s="193"/>
      <c r="J24" s="193"/>
      <c r="K24" s="187"/>
      <c r="L24" s="193"/>
      <c r="M24" s="193"/>
      <c r="N24" s="187"/>
      <c r="O24" s="187"/>
      <c r="P24" s="190"/>
      <c r="Q24" s="187"/>
    </row>
    <row r="25" spans="1:17" s="184" customFormat="1" ht="21" customHeight="1">
      <c r="A25" s="195">
        <v>220100</v>
      </c>
      <c r="B25" s="186">
        <v>85810</v>
      </c>
      <c r="C25" s="186">
        <v>34180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32350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7">
        <f aca="true" t="shared" si="4" ref="Q25:Q30">SUM(B25:O25)</f>
        <v>152340</v>
      </c>
    </row>
    <row r="26" spans="1:17" s="184" customFormat="1" ht="21" customHeight="1">
      <c r="A26" s="195">
        <v>220200</v>
      </c>
      <c r="B26" s="186">
        <v>7570</v>
      </c>
      <c r="C26" s="186">
        <v>3000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3000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7">
        <f t="shared" si="4"/>
        <v>13570</v>
      </c>
    </row>
    <row r="27" spans="1:17" s="184" customFormat="1" ht="21" customHeight="1">
      <c r="A27" s="195">
        <v>220300</v>
      </c>
      <c r="B27" s="186">
        <v>3500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7">
        <f t="shared" si="4"/>
        <v>3500</v>
      </c>
    </row>
    <row r="28" spans="1:17" s="184" customFormat="1" ht="21" customHeight="1">
      <c r="A28" s="195">
        <v>220600</v>
      </c>
      <c r="B28" s="186">
        <f>19650+6580</f>
        <v>26230</v>
      </c>
      <c r="C28" s="186">
        <f>19440+300</f>
        <v>19740</v>
      </c>
      <c r="D28" s="186">
        <v>0</v>
      </c>
      <c r="E28" s="186">
        <v>0</v>
      </c>
      <c r="F28" s="186">
        <v>16420</v>
      </c>
      <c r="G28" s="186">
        <v>0</v>
      </c>
      <c r="H28" s="186">
        <v>0</v>
      </c>
      <c r="I28" s="186">
        <v>8200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7">
        <f t="shared" si="4"/>
        <v>70590</v>
      </c>
    </row>
    <row r="29" spans="1:17" ht="18.75">
      <c r="A29" s="66" t="s">
        <v>18</v>
      </c>
      <c r="B29" s="67">
        <f aca="true" t="shared" si="5" ref="B29:O29">SUM(B25:B28)</f>
        <v>123110</v>
      </c>
      <c r="C29" s="67">
        <f t="shared" si="5"/>
        <v>56920</v>
      </c>
      <c r="D29" s="67">
        <f t="shared" si="5"/>
        <v>0</v>
      </c>
      <c r="E29" s="67">
        <f t="shared" si="5"/>
        <v>0</v>
      </c>
      <c r="F29" s="67">
        <f t="shared" si="5"/>
        <v>16420</v>
      </c>
      <c r="G29" s="67">
        <f t="shared" si="5"/>
        <v>0</v>
      </c>
      <c r="H29" s="67">
        <f t="shared" si="5"/>
        <v>0</v>
      </c>
      <c r="I29" s="67">
        <f t="shared" si="5"/>
        <v>43550</v>
      </c>
      <c r="J29" s="67">
        <f t="shared" si="5"/>
        <v>0</v>
      </c>
      <c r="K29" s="67">
        <f t="shared" si="5"/>
        <v>0</v>
      </c>
      <c r="L29" s="67">
        <f t="shared" si="5"/>
        <v>0</v>
      </c>
      <c r="M29" s="67">
        <f t="shared" si="5"/>
        <v>0</v>
      </c>
      <c r="N29" s="67">
        <f t="shared" si="5"/>
        <v>0</v>
      </c>
      <c r="O29" s="67">
        <f t="shared" si="5"/>
        <v>0</v>
      </c>
      <c r="P29" s="67">
        <f>SUM(P25:P28)</f>
        <v>0</v>
      </c>
      <c r="Q29" s="65">
        <f t="shared" si="4"/>
        <v>240000</v>
      </c>
    </row>
    <row r="30" spans="1:17" s="77" customFormat="1" ht="18.75">
      <c r="A30" s="72" t="s">
        <v>19</v>
      </c>
      <c r="B30" s="75">
        <v>123110</v>
      </c>
      <c r="C30" s="75">
        <v>56920</v>
      </c>
      <c r="D30" s="75">
        <f>0</f>
        <v>0</v>
      </c>
      <c r="E30" s="75">
        <f>0</f>
        <v>0</v>
      </c>
      <c r="F30" s="75">
        <v>16420</v>
      </c>
      <c r="G30" s="75">
        <f>0</f>
        <v>0</v>
      </c>
      <c r="H30" s="75">
        <f>0</f>
        <v>0</v>
      </c>
      <c r="I30" s="75">
        <v>43550</v>
      </c>
      <c r="J30" s="75">
        <f>0</f>
        <v>0</v>
      </c>
      <c r="K30" s="75">
        <f>0</f>
        <v>0</v>
      </c>
      <c r="L30" s="75">
        <f>0</f>
        <v>0</v>
      </c>
      <c r="M30" s="75">
        <f>0</f>
        <v>0</v>
      </c>
      <c r="N30" s="75">
        <f>0</f>
        <v>0</v>
      </c>
      <c r="O30" s="75">
        <f>0</f>
        <v>0</v>
      </c>
      <c r="P30" s="75">
        <f>0</f>
        <v>0</v>
      </c>
      <c r="Q30" s="76">
        <f t="shared" si="4"/>
        <v>240000</v>
      </c>
    </row>
    <row r="31" spans="1:17" s="77" customFormat="1" ht="21.75" customHeight="1">
      <c r="A31" s="73"/>
      <c r="B31" s="78"/>
      <c r="C31" s="373" t="s">
        <v>6</v>
      </c>
      <c r="D31" s="373"/>
      <c r="E31" s="373"/>
      <c r="F31" s="86"/>
      <c r="G31" s="86"/>
      <c r="H31" s="86"/>
      <c r="I31" s="373" t="s">
        <v>100</v>
      </c>
      <c r="J31" s="373"/>
      <c r="K31" s="373"/>
      <c r="L31" s="78"/>
      <c r="M31" s="78"/>
      <c r="N31" s="78"/>
      <c r="O31" s="78"/>
      <c r="P31" s="78"/>
      <c r="Q31" s="79"/>
    </row>
    <row r="32" spans="1:17" s="77" customFormat="1" ht="21.75" customHeight="1">
      <c r="A32" s="73"/>
      <c r="B32" s="78"/>
      <c r="C32" s="86"/>
      <c r="D32" s="86"/>
      <c r="E32" s="86"/>
      <c r="F32" s="86"/>
      <c r="G32" s="86"/>
      <c r="H32" s="86"/>
      <c r="I32" s="86"/>
      <c r="J32" s="86"/>
      <c r="K32" s="86"/>
      <c r="L32" s="78"/>
      <c r="M32" s="78"/>
      <c r="N32" s="78"/>
      <c r="O32" s="78"/>
      <c r="P32" s="78"/>
      <c r="Q32" s="79"/>
    </row>
    <row r="33" spans="1:17" s="77" customFormat="1" ht="21.75" customHeight="1">
      <c r="A33" s="73"/>
      <c r="B33" s="86"/>
      <c r="C33" s="86"/>
      <c r="D33" s="69"/>
      <c r="E33" s="69"/>
      <c r="F33" s="69"/>
      <c r="G33" s="69"/>
      <c r="H33" s="78"/>
      <c r="I33" s="86"/>
      <c r="J33" s="69"/>
      <c r="K33" s="69"/>
      <c r="L33" s="78"/>
      <c r="M33" s="78"/>
      <c r="N33" s="78"/>
      <c r="O33" s="78"/>
      <c r="P33" s="78"/>
      <c r="Q33" s="79"/>
    </row>
    <row r="34" spans="1:17" s="77" customFormat="1" ht="21.75" customHeight="1">
      <c r="A34" s="73"/>
      <c r="B34" s="86"/>
      <c r="C34" s="373" t="s">
        <v>114</v>
      </c>
      <c r="D34" s="373"/>
      <c r="E34" s="373"/>
      <c r="F34" s="86"/>
      <c r="G34" s="86"/>
      <c r="H34" s="86"/>
      <c r="I34" s="373" t="s">
        <v>256</v>
      </c>
      <c r="J34" s="373"/>
      <c r="K34" s="373"/>
      <c r="L34" s="78"/>
      <c r="M34" s="78"/>
      <c r="N34" s="78"/>
      <c r="O34" s="78"/>
      <c r="P34" s="78"/>
      <c r="Q34" s="79"/>
    </row>
    <row r="35" spans="1:17" s="77" customFormat="1" ht="21.75" customHeight="1">
      <c r="A35" s="73"/>
      <c r="B35" s="78"/>
      <c r="C35" s="373" t="s">
        <v>106</v>
      </c>
      <c r="D35" s="373"/>
      <c r="E35" s="373"/>
      <c r="F35" s="86"/>
      <c r="G35" s="86"/>
      <c r="H35" s="86"/>
      <c r="I35" s="373" t="s">
        <v>99</v>
      </c>
      <c r="J35" s="373"/>
      <c r="K35" s="373"/>
      <c r="L35" s="78"/>
      <c r="M35" s="78"/>
      <c r="N35" s="78"/>
      <c r="O35" s="78"/>
      <c r="P35" s="78"/>
      <c r="Q35" s="79"/>
    </row>
    <row r="36" spans="1:17" s="77" customFormat="1" ht="18.75">
      <c r="A36" s="73"/>
      <c r="B36" s="78"/>
      <c r="C36" s="86"/>
      <c r="D36" s="86"/>
      <c r="E36" s="86"/>
      <c r="F36" s="86"/>
      <c r="G36" s="86"/>
      <c r="H36" s="86"/>
      <c r="I36" s="78"/>
      <c r="J36" s="78"/>
      <c r="K36" s="78"/>
      <c r="L36" s="78"/>
      <c r="M36" s="78"/>
      <c r="N36" s="78"/>
      <c r="O36" s="78"/>
      <c r="P36" s="78"/>
      <c r="Q36" s="79"/>
    </row>
    <row r="37" spans="1:17" ht="19.5" thickBot="1">
      <c r="A37" s="380" t="s">
        <v>20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</row>
    <row r="38" spans="1:17" s="55" customFormat="1" ht="18.75">
      <c r="A38" s="50" t="s">
        <v>15</v>
      </c>
      <c r="B38" s="375" t="s">
        <v>81</v>
      </c>
      <c r="C38" s="376"/>
      <c r="D38" s="375" t="s">
        <v>84</v>
      </c>
      <c r="E38" s="376"/>
      <c r="F38" s="51" t="s">
        <v>90</v>
      </c>
      <c r="G38" s="51" t="s">
        <v>91</v>
      </c>
      <c r="H38" s="52" t="s">
        <v>94</v>
      </c>
      <c r="I38" s="375" t="s">
        <v>85</v>
      </c>
      <c r="J38" s="376"/>
      <c r="K38" s="53" t="s">
        <v>95</v>
      </c>
      <c r="L38" s="375" t="s">
        <v>86</v>
      </c>
      <c r="M38" s="377"/>
      <c r="N38" s="53" t="s">
        <v>98</v>
      </c>
      <c r="O38" s="53" t="s">
        <v>110</v>
      </c>
      <c r="P38" s="51" t="s">
        <v>79</v>
      </c>
      <c r="Q38" s="54" t="s">
        <v>16</v>
      </c>
    </row>
    <row r="39" spans="1:17" s="55" customFormat="1" ht="19.5" thickBot="1">
      <c r="A39" s="56" t="s">
        <v>17</v>
      </c>
      <c r="B39" s="58" t="s">
        <v>82</v>
      </c>
      <c r="C39" s="59" t="s">
        <v>83</v>
      </c>
      <c r="D39" s="57" t="s">
        <v>75</v>
      </c>
      <c r="E39" s="57" t="s">
        <v>76</v>
      </c>
      <c r="F39" s="58" t="s">
        <v>89</v>
      </c>
      <c r="G39" s="58" t="s">
        <v>92</v>
      </c>
      <c r="H39" s="61" t="s">
        <v>93</v>
      </c>
      <c r="I39" s="57" t="s">
        <v>77</v>
      </c>
      <c r="J39" s="57" t="s">
        <v>78</v>
      </c>
      <c r="K39" s="62" t="s">
        <v>96</v>
      </c>
      <c r="L39" s="59" t="s">
        <v>134</v>
      </c>
      <c r="M39" s="60" t="s">
        <v>87</v>
      </c>
      <c r="N39" s="62" t="s">
        <v>97</v>
      </c>
      <c r="O39" s="62" t="s">
        <v>111</v>
      </c>
      <c r="P39" s="57" t="s">
        <v>80</v>
      </c>
      <c r="Q39" s="63"/>
    </row>
    <row r="40" spans="1:17" s="184" customFormat="1" ht="21" customHeight="1">
      <c r="A40" s="197">
        <v>531000</v>
      </c>
      <c r="B40" s="198"/>
      <c r="C40" s="199"/>
      <c r="D40" s="180"/>
      <c r="E40" s="180"/>
      <c r="F40" s="181"/>
      <c r="G40" s="181"/>
      <c r="H40" s="180"/>
      <c r="I40" s="180"/>
      <c r="J40" s="198"/>
      <c r="K40" s="187"/>
      <c r="L40" s="180"/>
      <c r="M40" s="180"/>
      <c r="N40" s="187"/>
      <c r="O40" s="187"/>
      <c r="P40" s="198"/>
      <c r="Q40" s="187"/>
    </row>
    <row r="41" spans="1:17" s="184" customFormat="1" ht="21" customHeight="1">
      <c r="A41" s="195">
        <v>310100</v>
      </c>
      <c r="B41" s="186">
        <v>0</v>
      </c>
      <c r="C41" s="186">
        <v>0</v>
      </c>
      <c r="D41" s="186">
        <v>0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0</v>
      </c>
      <c r="P41" s="186">
        <v>0</v>
      </c>
      <c r="Q41" s="187">
        <f aca="true" t="shared" si="6" ref="Q41:Q49">SUM(B41:O41)</f>
        <v>0</v>
      </c>
    </row>
    <row r="42" spans="1:17" s="184" customFormat="1" ht="21" customHeight="1">
      <c r="A42" s="195">
        <v>310200</v>
      </c>
      <c r="B42" s="186">
        <v>0</v>
      </c>
      <c r="C42" s="186">
        <v>0</v>
      </c>
      <c r="D42" s="186">
        <v>0</v>
      </c>
      <c r="E42" s="186">
        <v>0</v>
      </c>
      <c r="F42" s="186">
        <v>0</v>
      </c>
      <c r="G42" s="186">
        <v>0</v>
      </c>
      <c r="H42" s="186">
        <v>0</v>
      </c>
      <c r="I42" s="186">
        <v>0</v>
      </c>
      <c r="J42" s="186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6">
        <v>0</v>
      </c>
      <c r="Q42" s="187">
        <f t="shared" si="6"/>
        <v>0</v>
      </c>
    </row>
    <row r="43" spans="1:17" s="184" customFormat="1" ht="21" customHeight="1">
      <c r="A43" s="195">
        <v>310300</v>
      </c>
      <c r="B43" s="186">
        <v>0</v>
      </c>
      <c r="C43" s="186">
        <v>0</v>
      </c>
      <c r="D43" s="186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7">
        <f t="shared" si="6"/>
        <v>0</v>
      </c>
    </row>
    <row r="44" spans="1:17" s="184" customFormat="1" ht="21" customHeight="1">
      <c r="A44" s="195">
        <v>310400</v>
      </c>
      <c r="B44" s="186">
        <v>0</v>
      </c>
      <c r="C44" s="186">
        <v>0</v>
      </c>
      <c r="D44" s="186">
        <v>0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0</v>
      </c>
      <c r="M44" s="186">
        <v>0</v>
      </c>
      <c r="N44" s="186">
        <v>0</v>
      </c>
      <c r="O44" s="186">
        <v>0</v>
      </c>
      <c r="P44" s="186">
        <v>0</v>
      </c>
      <c r="Q44" s="187">
        <f t="shared" si="6"/>
        <v>0</v>
      </c>
    </row>
    <row r="45" spans="1:17" s="184" customFormat="1" ht="21" customHeight="1">
      <c r="A45" s="195">
        <v>310500</v>
      </c>
      <c r="B45" s="186">
        <v>0</v>
      </c>
      <c r="C45" s="186">
        <v>0</v>
      </c>
      <c r="D45" s="186">
        <v>0</v>
      </c>
      <c r="E45" s="186">
        <v>0</v>
      </c>
      <c r="F45" s="186">
        <v>0</v>
      </c>
      <c r="G45" s="186">
        <v>0</v>
      </c>
      <c r="H45" s="186">
        <v>0</v>
      </c>
      <c r="I45" s="186">
        <v>0</v>
      </c>
      <c r="J45" s="186">
        <v>0</v>
      </c>
      <c r="K45" s="186">
        <v>0</v>
      </c>
      <c r="L45" s="186">
        <v>0</v>
      </c>
      <c r="M45" s="186">
        <v>0</v>
      </c>
      <c r="N45" s="186">
        <v>0</v>
      </c>
      <c r="O45" s="186">
        <v>0</v>
      </c>
      <c r="P45" s="186">
        <v>0</v>
      </c>
      <c r="Q45" s="187">
        <f t="shared" si="6"/>
        <v>0</v>
      </c>
    </row>
    <row r="46" spans="1:17" s="184" customFormat="1" ht="21" customHeight="1">
      <c r="A46" s="195">
        <v>310600</v>
      </c>
      <c r="B46" s="186">
        <v>2175</v>
      </c>
      <c r="C46" s="186">
        <v>0</v>
      </c>
      <c r="D46" s="186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0</v>
      </c>
      <c r="P46" s="186">
        <v>0</v>
      </c>
      <c r="Q46" s="187">
        <f t="shared" si="6"/>
        <v>2175</v>
      </c>
    </row>
    <row r="47" spans="1:17" s="184" customFormat="1" ht="21" customHeight="1">
      <c r="A47" s="195">
        <v>310800</v>
      </c>
      <c r="B47" s="186">
        <v>0</v>
      </c>
      <c r="C47" s="186">
        <v>0</v>
      </c>
      <c r="D47" s="186">
        <v>0</v>
      </c>
      <c r="E47" s="186">
        <v>0</v>
      </c>
      <c r="F47" s="186">
        <v>0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0</v>
      </c>
      <c r="M47" s="186">
        <v>0</v>
      </c>
      <c r="N47" s="186">
        <v>0</v>
      </c>
      <c r="O47" s="186">
        <v>0</v>
      </c>
      <c r="P47" s="186">
        <v>0</v>
      </c>
      <c r="Q47" s="187">
        <f t="shared" si="6"/>
        <v>0</v>
      </c>
    </row>
    <row r="48" spans="1:17" ht="18.75">
      <c r="A48" s="66" t="s">
        <v>18</v>
      </c>
      <c r="B48" s="67">
        <f aca="true" t="shared" si="7" ref="B48:O48">SUM(B41:B47)</f>
        <v>2175</v>
      </c>
      <c r="C48" s="67">
        <f t="shared" si="7"/>
        <v>0</v>
      </c>
      <c r="D48" s="67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>SUM(P41:P47)</f>
        <v>0</v>
      </c>
      <c r="Q48" s="65">
        <f t="shared" si="6"/>
        <v>2175</v>
      </c>
    </row>
    <row r="49" spans="1:17" s="77" customFormat="1" ht="18.75">
      <c r="A49" s="72" t="s">
        <v>19</v>
      </c>
      <c r="B49" s="75">
        <v>2175</v>
      </c>
      <c r="C49" s="75">
        <v>0</v>
      </c>
      <c r="D49" s="75">
        <f>0</f>
        <v>0</v>
      </c>
      <c r="E49" s="75">
        <f>0</f>
        <v>0</v>
      </c>
      <c r="F49" s="75">
        <f>0</f>
        <v>0</v>
      </c>
      <c r="G49" s="75">
        <f>0</f>
        <v>0</v>
      </c>
      <c r="H49" s="75">
        <f>0</f>
        <v>0</v>
      </c>
      <c r="I49" s="75">
        <v>0</v>
      </c>
      <c r="J49" s="75">
        <f>0</f>
        <v>0</v>
      </c>
      <c r="K49" s="75">
        <f>0</f>
        <v>0</v>
      </c>
      <c r="L49" s="75">
        <f>0</f>
        <v>0</v>
      </c>
      <c r="M49" s="75">
        <f>0</f>
        <v>0</v>
      </c>
      <c r="N49" s="75">
        <f>0</f>
        <v>0</v>
      </c>
      <c r="O49" s="75">
        <f>0</f>
        <v>0</v>
      </c>
      <c r="P49" s="75">
        <f>0</f>
        <v>0</v>
      </c>
      <c r="Q49" s="76">
        <f t="shared" si="6"/>
        <v>2175</v>
      </c>
    </row>
    <row r="50" spans="1:17" s="184" customFormat="1" ht="21" customHeight="1">
      <c r="A50" s="192">
        <v>532000</v>
      </c>
      <c r="B50" s="190"/>
      <c r="C50" s="196"/>
      <c r="D50" s="193"/>
      <c r="E50" s="193"/>
      <c r="F50" s="194"/>
      <c r="G50" s="194"/>
      <c r="H50" s="190"/>
      <c r="I50" s="193"/>
      <c r="J50" s="190"/>
      <c r="K50" s="187"/>
      <c r="L50" s="193"/>
      <c r="M50" s="193"/>
      <c r="N50" s="187"/>
      <c r="O50" s="187"/>
      <c r="P50" s="190"/>
      <c r="Q50" s="187"/>
    </row>
    <row r="51" spans="1:17" s="184" customFormat="1" ht="21" customHeight="1">
      <c r="A51" s="195">
        <v>320100</v>
      </c>
      <c r="B51" s="186">
        <f>450+9410</f>
        <v>9860</v>
      </c>
      <c r="C51" s="186">
        <v>0</v>
      </c>
      <c r="D51" s="186">
        <v>0</v>
      </c>
      <c r="E51" s="186">
        <v>0</v>
      </c>
      <c r="F51" s="186">
        <v>0</v>
      </c>
      <c r="G51" s="186">
        <v>0</v>
      </c>
      <c r="H51" s="186">
        <v>0</v>
      </c>
      <c r="I51" s="186">
        <v>0</v>
      </c>
      <c r="J51" s="186">
        <v>0</v>
      </c>
      <c r="K51" s="186">
        <v>0</v>
      </c>
      <c r="L51" s="186">
        <v>0</v>
      </c>
      <c r="M51" s="186">
        <v>0</v>
      </c>
      <c r="N51" s="186">
        <v>0</v>
      </c>
      <c r="O51" s="186">
        <v>0</v>
      </c>
      <c r="P51" s="186">
        <v>0</v>
      </c>
      <c r="Q51" s="187">
        <f aca="true" t="shared" si="8" ref="Q51:Q57">SUM(B51:O51)</f>
        <v>9860</v>
      </c>
    </row>
    <row r="52" spans="1:17" s="184" customFormat="1" ht="21" customHeight="1">
      <c r="A52" s="195">
        <v>320200</v>
      </c>
      <c r="B52" s="186">
        <v>0</v>
      </c>
      <c r="C52" s="186">
        <v>0</v>
      </c>
      <c r="D52" s="186">
        <v>0</v>
      </c>
      <c r="E52" s="186">
        <v>0</v>
      </c>
      <c r="F52" s="186">
        <v>0</v>
      </c>
      <c r="G52" s="186">
        <v>0</v>
      </c>
      <c r="H52" s="186">
        <v>0</v>
      </c>
      <c r="I52" s="186">
        <v>0</v>
      </c>
      <c r="J52" s="186">
        <v>0</v>
      </c>
      <c r="K52" s="186">
        <v>0</v>
      </c>
      <c r="L52" s="186">
        <v>0</v>
      </c>
      <c r="M52" s="186">
        <v>0</v>
      </c>
      <c r="N52" s="186">
        <v>0</v>
      </c>
      <c r="O52" s="186">
        <v>0</v>
      </c>
      <c r="P52" s="186">
        <v>0</v>
      </c>
      <c r="Q52" s="187">
        <f t="shared" si="8"/>
        <v>0</v>
      </c>
    </row>
    <row r="53" spans="1:17" s="184" customFormat="1" ht="21" customHeight="1">
      <c r="A53" s="195">
        <v>320300</v>
      </c>
      <c r="B53" s="186">
        <v>1000</v>
      </c>
      <c r="C53" s="186">
        <v>0</v>
      </c>
      <c r="D53" s="186">
        <v>0</v>
      </c>
      <c r="E53" s="186">
        <v>0</v>
      </c>
      <c r="F53" s="186">
        <v>0</v>
      </c>
      <c r="G53" s="186">
        <f>15000-15000</f>
        <v>0</v>
      </c>
      <c r="H53" s="186">
        <v>0</v>
      </c>
      <c r="I53" s="186">
        <v>0</v>
      </c>
      <c r="J53" s="186">
        <v>0</v>
      </c>
      <c r="K53" s="186">
        <v>0</v>
      </c>
      <c r="L53" s="186">
        <v>0</v>
      </c>
      <c r="M53" s="186">
        <f>50000-50000</f>
        <v>0</v>
      </c>
      <c r="N53" s="186">
        <v>0</v>
      </c>
      <c r="O53" s="186">
        <v>0</v>
      </c>
      <c r="P53" s="186">
        <v>0</v>
      </c>
      <c r="Q53" s="187">
        <f t="shared" si="8"/>
        <v>1000</v>
      </c>
    </row>
    <row r="54" spans="1:17" s="184" customFormat="1" ht="21" customHeight="1">
      <c r="A54" s="195">
        <v>320400</v>
      </c>
      <c r="B54" s="186">
        <v>0</v>
      </c>
      <c r="C54" s="186">
        <v>2700</v>
      </c>
      <c r="D54" s="186">
        <v>0</v>
      </c>
      <c r="E54" s="186">
        <v>0</v>
      </c>
      <c r="F54" s="186">
        <v>0</v>
      </c>
      <c r="G54" s="186">
        <v>0</v>
      </c>
      <c r="H54" s="186">
        <v>0</v>
      </c>
      <c r="I54" s="186">
        <v>0</v>
      </c>
      <c r="J54" s="186">
        <v>0</v>
      </c>
      <c r="K54" s="186">
        <v>0</v>
      </c>
      <c r="L54" s="186">
        <v>0</v>
      </c>
      <c r="M54" s="186">
        <v>0</v>
      </c>
      <c r="N54" s="186">
        <v>0</v>
      </c>
      <c r="O54" s="186">
        <v>0</v>
      </c>
      <c r="P54" s="186">
        <v>0</v>
      </c>
      <c r="Q54" s="187">
        <f t="shared" si="8"/>
        <v>2700</v>
      </c>
    </row>
    <row r="55" spans="1:17" s="184" customFormat="1" ht="21" customHeight="1">
      <c r="A55" s="195">
        <v>320500</v>
      </c>
      <c r="B55" s="186">
        <v>0</v>
      </c>
      <c r="C55" s="186">
        <v>0</v>
      </c>
      <c r="D55" s="186">
        <v>0</v>
      </c>
      <c r="E55" s="186">
        <v>0</v>
      </c>
      <c r="F55" s="186">
        <v>0</v>
      </c>
      <c r="G55" s="186">
        <v>0</v>
      </c>
      <c r="H55" s="186">
        <v>0</v>
      </c>
      <c r="I55" s="186">
        <v>0</v>
      </c>
      <c r="J55" s="186">
        <v>0</v>
      </c>
      <c r="K55" s="186">
        <v>0</v>
      </c>
      <c r="L55" s="186">
        <v>0</v>
      </c>
      <c r="M55" s="186">
        <v>0</v>
      </c>
      <c r="N55" s="186">
        <v>0</v>
      </c>
      <c r="O55" s="186">
        <v>0</v>
      </c>
      <c r="P55" s="186">
        <v>0</v>
      </c>
      <c r="Q55" s="187">
        <f t="shared" si="8"/>
        <v>0</v>
      </c>
    </row>
    <row r="56" spans="1:17" ht="18.75">
      <c r="A56" s="66" t="s">
        <v>18</v>
      </c>
      <c r="B56" s="67">
        <f aca="true" t="shared" si="9" ref="B56:P56">SUM(B51:B55)</f>
        <v>10860</v>
      </c>
      <c r="C56" s="67">
        <f t="shared" si="9"/>
        <v>2700</v>
      </c>
      <c r="D56" s="67">
        <f t="shared" si="9"/>
        <v>0</v>
      </c>
      <c r="E56" s="67">
        <f t="shared" si="9"/>
        <v>0</v>
      </c>
      <c r="F56" s="67">
        <f t="shared" si="9"/>
        <v>0</v>
      </c>
      <c r="G56" s="67">
        <f t="shared" si="9"/>
        <v>0</v>
      </c>
      <c r="H56" s="67">
        <f t="shared" si="9"/>
        <v>0</v>
      </c>
      <c r="I56" s="67">
        <f t="shared" si="9"/>
        <v>0</v>
      </c>
      <c r="J56" s="67">
        <f t="shared" si="9"/>
        <v>0</v>
      </c>
      <c r="K56" s="67">
        <f t="shared" si="9"/>
        <v>0</v>
      </c>
      <c r="L56" s="67">
        <f t="shared" si="9"/>
        <v>0</v>
      </c>
      <c r="M56" s="67">
        <f t="shared" si="9"/>
        <v>0</v>
      </c>
      <c r="N56" s="67">
        <f t="shared" si="9"/>
        <v>0</v>
      </c>
      <c r="O56" s="67">
        <f t="shared" si="9"/>
        <v>0</v>
      </c>
      <c r="P56" s="67">
        <f t="shared" si="9"/>
        <v>0</v>
      </c>
      <c r="Q56" s="65">
        <f t="shared" si="8"/>
        <v>13560</v>
      </c>
    </row>
    <row r="57" spans="1:17" s="77" customFormat="1" ht="18.75">
      <c r="A57" s="74" t="s">
        <v>19</v>
      </c>
      <c r="B57" s="75">
        <v>10860</v>
      </c>
      <c r="C57" s="75">
        <v>2700</v>
      </c>
      <c r="D57" s="75">
        <v>0</v>
      </c>
      <c r="E57" s="75">
        <f>0</f>
        <v>0</v>
      </c>
      <c r="F57" s="75">
        <v>0</v>
      </c>
      <c r="G57" s="75">
        <v>0</v>
      </c>
      <c r="H57" s="75">
        <v>0</v>
      </c>
      <c r="I57" s="75">
        <v>0</v>
      </c>
      <c r="J57" s="75">
        <f>0</f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f>0</f>
        <v>0</v>
      </c>
      <c r="Q57" s="76">
        <f t="shared" si="8"/>
        <v>13560</v>
      </c>
    </row>
    <row r="58" spans="1:17" s="70" customFormat="1" ht="18.75">
      <c r="A58" s="73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80"/>
    </row>
    <row r="59" spans="1:17" s="70" customFormat="1" ht="18.75">
      <c r="A59" s="73"/>
      <c r="B59" s="69"/>
      <c r="C59" s="373" t="s">
        <v>6</v>
      </c>
      <c r="D59" s="373"/>
      <c r="E59" s="373"/>
      <c r="F59" s="86"/>
      <c r="G59" s="86"/>
      <c r="H59" s="86"/>
      <c r="I59" s="373" t="s">
        <v>100</v>
      </c>
      <c r="J59" s="373"/>
      <c r="K59" s="373"/>
      <c r="L59" s="78"/>
      <c r="M59" s="78"/>
      <c r="N59" s="69"/>
      <c r="O59" s="69"/>
      <c r="P59" s="69"/>
      <c r="Q59" s="80"/>
    </row>
    <row r="60" spans="1:17" s="70" customFormat="1" ht="18.75">
      <c r="A60" s="73"/>
      <c r="B60" s="69"/>
      <c r="C60" s="86"/>
      <c r="D60" s="86"/>
      <c r="E60" s="86"/>
      <c r="F60" s="86"/>
      <c r="G60" s="86"/>
      <c r="H60" s="69"/>
      <c r="I60" s="86"/>
      <c r="J60" s="86"/>
      <c r="K60" s="86"/>
      <c r="L60" s="78"/>
      <c r="M60" s="78"/>
      <c r="N60" s="69"/>
      <c r="O60" s="69"/>
      <c r="P60" s="69"/>
      <c r="Q60" s="80"/>
    </row>
    <row r="61" spans="1:17" s="70" customFormat="1" ht="18.75">
      <c r="A61" s="73"/>
      <c r="B61" s="69"/>
      <c r="C61" s="86"/>
      <c r="D61" s="86"/>
      <c r="E61" s="86"/>
      <c r="F61" s="86"/>
      <c r="G61" s="86"/>
      <c r="H61" s="69"/>
      <c r="I61" s="86"/>
      <c r="J61" s="69"/>
      <c r="K61" s="69"/>
      <c r="L61" s="78"/>
      <c r="M61" s="78"/>
      <c r="N61" s="69"/>
      <c r="O61" s="69"/>
      <c r="P61" s="69"/>
      <c r="Q61" s="80"/>
    </row>
    <row r="62" spans="1:17" s="70" customFormat="1" ht="18.75">
      <c r="A62" s="73"/>
      <c r="B62" s="69"/>
      <c r="C62" s="373" t="s">
        <v>115</v>
      </c>
      <c r="D62" s="373"/>
      <c r="E62" s="373"/>
      <c r="F62" s="69"/>
      <c r="G62" s="69"/>
      <c r="H62" s="69"/>
      <c r="I62" s="373" t="s">
        <v>256</v>
      </c>
      <c r="J62" s="373"/>
      <c r="K62" s="373"/>
      <c r="L62" s="78"/>
      <c r="M62" s="78"/>
      <c r="N62" s="69"/>
      <c r="O62" s="69"/>
      <c r="P62" s="69"/>
      <c r="Q62" s="80"/>
    </row>
    <row r="63" spans="1:17" s="70" customFormat="1" ht="18.75">
      <c r="A63" s="73"/>
      <c r="B63" s="69"/>
      <c r="C63" s="373" t="s">
        <v>106</v>
      </c>
      <c r="D63" s="373"/>
      <c r="E63" s="373"/>
      <c r="F63" s="86"/>
      <c r="G63" s="86"/>
      <c r="H63" s="86"/>
      <c r="I63" s="373" t="s">
        <v>99</v>
      </c>
      <c r="J63" s="373"/>
      <c r="K63" s="373"/>
      <c r="L63" s="78"/>
      <c r="M63" s="78"/>
      <c r="N63" s="69"/>
      <c r="O63" s="69"/>
      <c r="P63" s="69"/>
      <c r="Q63" s="80"/>
    </row>
    <row r="64" spans="1:17" s="70" customFormat="1" ht="18.75">
      <c r="A64" s="73"/>
      <c r="B64" s="69"/>
      <c r="C64" s="373"/>
      <c r="D64" s="373"/>
      <c r="E64" s="373"/>
      <c r="F64" s="86"/>
      <c r="G64" s="86"/>
      <c r="H64" s="86"/>
      <c r="I64" s="78"/>
      <c r="J64" s="78"/>
      <c r="K64" s="69"/>
      <c r="L64" s="78"/>
      <c r="M64" s="78"/>
      <c r="N64" s="69"/>
      <c r="O64" s="69"/>
      <c r="P64" s="69"/>
      <c r="Q64" s="80"/>
    </row>
    <row r="65" spans="1:17" s="70" customFormat="1" ht="18.75">
      <c r="A65" s="73"/>
      <c r="B65" s="69"/>
      <c r="C65" s="86"/>
      <c r="D65" s="86"/>
      <c r="E65" s="86"/>
      <c r="F65" s="86"/>
      <c r="G65" s="86"/>
      <c r="H65" s="86"/>
      <c r="I65" s="78"/>
      <c r="J65" s="78"/>
      <c r="K65" s="69"/>
      <c r="L65" s="78"/>
      <c r="M65" s="78"/>
      <c r="N65" s="69"/>
      <c r="O65" s="69"/>
      <c r="P65" s="69"/>
      <c r="Q65" s="80"/>
    </row>
    <row r="66" spans="1:17" s="70" customFormat="1" ht="18.75">
      <c r="A66" s="73"/>
      <c r="B66" s="69"/>
      <c r="C66" s="86"/>
      <c r="D66" s="86"/>
      <c r="E66" s="86"/>
      <c r="F66" s="86"/>
      <c r="G66" s="86"/>
      <c r="H66" s="86"/>
      <c r="I66" s="78"/>
      <c r="J66" s="78"/>
      <c r="K66" s="69"/>
      <c r="L66" s="78"/>
      <c r="M66" s="78"/>
      <c r="N66" s="69"/>
      <c r="O66" s="69"/>
      <c r="P66" s="69"/>
      <c r="Q66" s="80"/>
    </row>
    <row r="67" spans="1:17" s="70" customFormat="1" ht="18.75">
      <c r="A67" s="73"/>
      <c r="B67" s="69"/>
      <c r="C67" s="86"/>
      <c r="D67" s="86"/>
      <c r="E67" s="86"/>
      <c r="F67" s="86"/>
      <c r="G67" s="86"/>
      <c r="H67" s="86"/>
      <c r="I67" s="78"/>
      <c r="J67" s="78"/>
      <c r="K67" s="69"/>
      <c r="L67" s="78"/>
      <c r="M67" s="78"/>
      <c r="N67" s="69"/>
      <c r="O67" s="69"/>
      <c r="P67" s="69"/>
      <c r="Q67" s="80"/>
    </row>
    <row r="68" spans="1:17" s="70" customFormat="1" ht="18.75">
      <c r="A68" s="73"/>
      <c r="B68" s="69"/>
      <c r="C68" s="86"/>
      <c r="D68" s="86"/>
      <c r="E68" s="86"/>
      <c r="F68" s="86"/>
      <c r="G68" s="86"/>
      <c r="H68" s="86"/>
      <c r="I68" s="78"/>
      <c r="J68" s="78"/>
      <c r="K68" s="69"/>
      <c r="L68" s="78"/>
      <c r="M68" s="78"/>
      <c r="N68" s="69"/>
      <c r="O68" s="69"/>
      <c r="P68" s="69"/>
      <c r="Q68" s="80"/>
    </row>
    <row r="69" spans="1:17" s="70" customFormat="1" ht="18.75">
      <c r="A69" s="73"/>
      <c r="B69" s="69"/>
      <c r="C69" s="86"/>
      <c r="D69" s="86"/>
      <c r="E69" s="86"/>
      <c r="F69" s="86"/>
      <c r="G69" s="86"/>
      <c r="H69" s="86"/>
      <c r="I69" s="78"/>
      <c r="J69" s="78"/>
      <c r="K69" s="69"/>
      <c r="L69" s="78"/>
      <c r="M69" s="78"/>
      <c r="N69" s="69"/>
      <c r="O69" s="69"/>
      <c r="P69" s="69"/>
      <c r="Q69" s="80"/>
    </row>
    <row r="70" spans="1:17" s="70" customFormat="1" ht="18.75">
      <c r="A70" s="73"/>
      <c r="B70" s="69"/>
      <c r="C70" s="86"/>
      <c r="D70" s="86"/>
      <c r="E70" s="86"/>
      <c r="F70" s="86"/>
      <c r="G70" s="86"/>
      <c r="H70" s="86"/>
      <c r="I70" s="78"/>
      <c r="J70" s="78"/>
      <c r="K70" s="69"/>
      <c r="L70" s="78"/>
      <c r="M70" s="78"/>
      <c r="N70" s="69"/>
      <c r="O70" s="69"/>
      <c r="P70" s="69"/>
      <c r="Q70" s="80"/>
    </row>
    <row r="71" spans="1:17" s="70" customFormat="1" ht="18.75">
      <c r="A71" s="73"/>
      <c r="B71" s="69"/>
      <c r="C71" s="86"/>
      <c r="D71" s="86"/>
      <c r="E71" s="86"/>
      <c r="F71" s="86"/>
      <c r="G71" s="86"/>
      <c r="H71" s="86"/>
      <c r="I71" s="78"/>
      <c r="J71" s="78"/>
      <c r="K71" s="69"/>
      <c r="L71" s="78"/>
      <c r="M71" s="78"/>
      <c r="N71" s="69"/>
      <c r="O71" s="69"/>
      <c r="P71" s="69"/>
      <c r="Q71" s="80"/>
    </row>
    <row r="72" spans="1:17" s="70" customFormat="1" ht="18.75">
      <c r="A72" s="73"/>
      <c r="B72" s="69"/>
      <c r="C72" s="86"/>
      <c r="D72" s="86"/>
      <c r="E72" s="86"/>
      <c r="F72" s="86"/>
      <c r="G72" s="86"/>
      <c r="H72" s="86"/>
      <c r="I72" s="78"/>
      <c r="J72" s="78"/>
      <c r="K72" s="69"/>
      <c r="L72" s="78"/>
      <c r="M72" s="78"/>
      <c r="N72" s="69"/>
      <c r="O72" s="69"/>
      <c r="P72" s="69"/>
      <c r="Q72" s="80"/>
    </row>
    <row r="73" spans="1:17" s="70" customFormat="1" ht="18.75">
      <c r="A73" s="73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0"/>
    </row>
    <row r="74" spans="1:17" s="70" customFormat="1" ht="18.75">
      <c r="A74" s="73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0"/>
    </row>
    <row r="75" spans="1:17" ht="19.5" thickBot="1">
      <c r="A75" s="374" t="s">
        <v>71</v>
      </c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</row>
    <row r="76" spans="1:17" s="55" customFormat="1" ht="18.75">
      <c r="A76" s="50" t="s">
        <v>15</v>
      </c>
      <c r="B76" s="375" t="s">
        <v>81</v>
      </c>
      <c r="C76" s="376"/>
      <c r="D76" s="375" t="s">
        <v>84</v>
      </c>
      <c r="E76" s="376"/>
      <c r="F76" s="51" t="s">
        <v>90</v>
      </c>
      <c r="G76" s="51" t="s">
        <v>91</v>
      </c>
      <c r="H76" s="52" t="s">
        <v>94</v>
      </c>
      <c r="I76" s="375" t="s">
        <v>85</v>
      </c>
      <c r="J76" s="376"/>
      <c r="K76" s="53" t="s">
        <v>95</v>
      </c>
      <c r="L76" s="375" t="s">
        <v>86</v>
      </c>
      <c r="M76" s="377"/>
      <c r="N76" s="53" t="s">
        <v>98</v>
      </c>
      <c r="O76" s="53" t="s">
        <v>110</v>
      </c>
      <c r="P76" s="51" t="s">
        <v>79</v>
      </c>
      <c r="Q76" s="54" t="s">
        <v>16</v>
      </c>
    </row>
    <row r="77" spans="1:17" s="55" customFormat="1" ht="19.5" thickBot="1">
      <c r="A77" s="56" t="s">
        <v>17</v>
      </c>
      <c r="B77" s="58" t="s">
        <v>82</v>
      </c>
      <c r="C77" s="59" t="s">
        <v>83</v>
      </c>
      <c r="D77" s="57" t="s">
        <v>75</v>
      </c>
      <c r="E77" s="57" t="s">
        <v>76</v>
      </c>
      <c r="F77" s="58" t="s">
        <v>89</v>
      </c>
      <c r="G77" s="58" t="s">
        <v>92</v>
      </c>
      <c r="H77" s="61" t="s">
        <v>93</v>
      </c>
      <c r="I77" s="57" t="s">
        <v>77</v>
      </c>
      <c r="J77" s="57" t="s">
        <v>78</v>
      </c>
      <c r="K77" s="62" t="s">
        <v>96</v>
      </c>
      <c r="L77" s="59" t="s">
        <v>134</v>
      </c>
      <c r="M77" s="60" t="s">
        <v>87</v>
      </c>
      <c r="N77" s="62" t="s">
        <v>97</v>
      </c>
      <c r="O77" s="62" t="s">
        <v>111</v>
      </c>
      <c r="P77" s="57" t="s">
        <v>80</v>
      </c>
      <c r="Q77" s="63"/>
    </row>
    <row r="78" spans="1:17" s="184" customFormat="1" ht="21" customHeight="1">
      <c r="A78" s="192">
        <v>533000</v>
      </c>
      <c r="B78" s="199"/>
      <c r="C78" s="180"/>
      <c r="D78" s="190"/>
      <c r="E78" s="196"/>
      <c r="F78" s="187"/>
      <c r="G78" s="205"/>
      <c r="H78" s="198"/>
      <c r="I78" s="181"/>
      <c r="J78" s="190"/>
      <c r="K78" s="187"/>
      <c r="L78" s="190"/>
      <c r="M78" s="190"/>
      <c r="N78" s="187"/>
      <c r="O78" s="198"/>
      <c r="P78" s="190"/>
      <c r="Q78" s="187"/>
    </row>
    <row r="79" spans="1:17" s="184" customFormat="1" ht="21" customHeight="1">
      <c r="A79" s="206">
        <v>330100</v>
      </c>
      <c r="B79" s="186">
        <v>0</v>
      </c>
      <c r="C79" s="186">
        <v>5400</v>
      </c>
      <c r="D79" s="186">
        <v>0</v>
      </c>
      <c r="E79" s="186">
        <v>0</v>
      </c>
      <c r="F79" s="186">
        <v>0</v>
      </c>
      <c r="G79" s="186">
        <v>0</v>
      </c>
      <c r="H79" s="186">
        <v>0</v>
      </c>
      <c r="I79" s="186">
        <v>0</v>
      </c>
      <c r="J79" s="186">
        <v>0</v>
      </c>
      <c r="K79" s="186">
        <v>0</v>
      </c>
      <c r="L79" s="186">
        <v>0</v>
      </c>
      <c r="M79" s="186">
        <v>0</v>
      </c>
      <c r="N79" s="186">
        <v>0</v>
      </c>
      <c r="O79" s="186">
        <v>0</v>
      </c>
      <c r="P79" s="186">
        <v>0</v>
      </c>
      <c r="Q79" s="187">
        <f aca="true" t="shared" si="10" ref="Q79:Q90">SUM(B79:N79)</f>
        <v>5400</v>
      </c>
    </row>
    <row r="80" spans="1:17" s="184" customFormat="1" ht="21" customHeight="1">
      <c r="A80" s="206">
        <v>330200</v>
      </c>
      <c r="B80" s="186">
        <v>1810</v>
      </c>
      <c r="C80" s="186">
        <v>0</v>
      </c>
      <c r="D80" s="186">
        <v>0</v>
      </c>
      <c r="E80" s="186">
        <v>0</v>
      </c>
      <c r="F80" s="186">
        <v>0</v>
      </c>
      <c r="G80" s="186">
        <v>0</v>
      </c>
      <c r="H80" s="186">
        <v>0</v>
      </c>
      <c r="I80" s="186">
        <v>0</v>
      </c>
      <c r="J80" s="186">
        <v>0</v>
      </c>
      <c r="K80" s="186">
        <v>0</v>
      </c>
      <c r="L80" s="186">
        <v>0</v>
      </c>
      <c r="M80" s="186">
        <v>0</v>
      </c>
      <c r="N80" s="186">
        <v>0</v>
      </c>
      <c r="O80" s="186">
        <v>0</v>
      </c>
      <c r="P80" s="186">
        <v>0</v>
      </c>
      <c r="Q80" s="187">
        <f t="shared" si="10"/>
        <v>1810</v>
      </c>
    </row>
    <row r="81" spans="1:17" s="184" customFormat="1" ht="21" customHeight="1">
      <c r="A81" s="195">
        <v>330300</v>
      </c>
      <c r="B81" s="186">
        <v>0</v>
      </c>
      <c r="C81" s="186">
        <v>0</v>
      </c>
      <c r="D81" s="186">
        <v>0</v>
      </c>
      <c r="E81" s="186">
        <v>0</v>
      </c>
      <c r="F81" s="186">
        <v>0</v>
      </c>
      <c r="G81" s="186">
        <v>0</v>
      </c>
      <c r="H81" s="186">
        <v>0</v>
      </c>
      <c r="I81" s="186">
        <v>0</v>
      </c>
      <c r="J81" s="186">
        <v>0</v>
      </c>
      <c r="K81" s="186">
        <v>0</v>
      </c>
      <c r="L81" s="186">
        <v>0</v>
      </c>
      <c r="M81" s="186">
        <v>0</v>
      </c>
      <c r="N81" s="186">
        <v>0</v>
      </c>
      <c r="O81" s="186">
        <v>25000</v>
      </c>
      <c r="P81" s="186">
        <v>0</v>
      </c>
      <c r="Q81" s="187">
        <f t="shared" si="10"/>
        <v>0</v>
      </c>
    </row>
    <row r="82" spans="1:17" s="184" customFormat="1" ht="21" customHeight="1">
      <c r="A82" s="195">
        <v>330600</v>
      </c>
      <c r="B82" s="186">
        <v>0</v>
      </c>
      <c r="C82" s="186">
        <v>0</v>
      </c>
      <c r="D82" s="186">
        <v>0</v>
      </c>
      <c r="E82" s="186">
        <v>0</v>
      </c>
      <c r="F82" s="186">
        <v>0</v>
      </c>
      <c r="G82" s="186">
        <v>0</v>
      </c>
      <c r="H82" s="186">
        <v>0</v>
      </c>
      <c r="I82" s="186">
        <v>0</v>
      </c>
      <c r="J82" s="186">
        <v>0</v>
      </c>
      <c r="K82" s="186">
        <v>0</v>
      </c>
      <c r="L82" s="186">
        <v>0</v>
      </c>
      <c r="M82" s="186">
        <v>0</v>
      </c>
      <c r="N82" s="186">
        <v>0</v>
      </c>
      <c r="O82" s="186">
        <v>0</v>
      </c>
      <c r="P82" s="186">
        <v>0</v>
      </c>
      <c r="Q82" s="187">
        <f t="shared" si="10"/>
        <v>0</v>
      </c>
    </row>
    <row r="83" spans="1:17" s="184" customFormat="1" ht="21" customHeight="1">
      <c r="A83" s="195">
        <v>330700</v>
      </c>
      <c r="B83" s="186">
        <v>3500</v>
      </c>
      <c r="C83" s="186">
        <v>0</v>
      </c>
      <c r="D83" s="186">
        <v>0</v>
      </c>
      <c r="E83" s="186">
        <v>0</v>
      </c>
      <c r="F83" s="186">
        <v>0</v>
      </c>
      <c r="G83" s="186">
        <v>0</v>
      </c>
      <c r="H83" s="186">
        <v>0</v>
      </c>
      <c r="I83" s="186">
        <v>0</v>
      </c>
      <c r="J83" s="186">
        <v>0</v>
      </c>
      <c r="K83" s="186">
        <v>0</v>
      </c>
      <c r="L83" s="186">
        <v>0</v>
      </c>
      <c r="M83" s="186">
        <v>0</v>
      </c>
      <c r="N83" s="186">
        <v>0</v>
      </c>
      <c r="O83" s="186">
        <v>0</v>
      </c>
      <c r="P83" s="186">
        <v>0</v>
      </c>
      <c r="Q83" s="187">
        <f t="shared" si="10"/>
        <v>3500</v>
      </c>
    </row>
    <row r="84" spans="1:17" s="184" customFormat="1" ht="21" customHeight="1">
      <c r="A84" s="195">
        <v>330800</v>
      </c>
      <c r="B84" s="186">
        <v>0</v>
      </c>
      <c r="C84" s="186">
        <v>0</v>
      </c>
      <c r="D84" s="186">
        <v>0</v>
      </c>
      <c r="E84" s="186">
        <v>0</v>
      </c>
      <c r="F84" s="186">
        <v>0</v>
      </c>
      <c r="G84" s="186">
        <v>0</v>
      </c>
      <c r="H84" s="186">
        <v>0</v>
      </c>
      <c r="I84" s="186">
        <v>0</v>
      </c>
      <c r="J84" s="186">
        <v>0</v>
      </c>
      <c r="K84" s="186">
        <v>0</v>
      </c>
      <c r="L84" s="186">
        <v>0</v>
      </c>
      <c r="M84" s="186">
        <v>0</v>
      </c>
      <c r="N84" s="186">
        <v>0</v>
      </c>
      <c r="O84" s="186">
        <v>0</v>
      </c>
      <c r="P84" s="186">
        <v>0</v>
      </c>
      <c r="Q84" s="187">
        <f t="shared" si="10"/>
        <v>0</v>
      </c>
    </row>
    <row r="85" spans="1:17" s="184" customFormat="1" ht="21" customHeight="1">
      <c r="A85" s="195">
        <v>330900</v>
      </c>
      <c r="B85" s="186">
        <v>0</v>
      </c>
      <c r="C85" s="186">
        <v>0</v>
      </c>
      <c r="D85" s="186">
        <v>0</v>
      </c>
      <c r="E85" s="186">
        <v>0</v>
      </c>
      <c r="F85" s="186">
        <v>0</v>
      </c>
      <c r="G85" s="186">
        <v>0</v>
      </c>
      <c r="H85" s="186">
        <v>0</v>
      </c>
      <c r="I85" s="186">
        <v>0</v>
      </c>
      <c r="J85" s="186">
        <v>0</v>
      </c>
      <c r="K85" s="186">
        <v>0</v>
      </c>
      <c r="L85" s="186">
        <v>0</v>
      </c>
      <c r="M85" s="186">
        <v>0</v>
      </c>
      <c r="N85" s="186">
        <v>0</v>
      </c>
      <c r="O85" s="186">
        <v>0</v>
      </c>
      <c r="P85" s="186">
        <v>0</v>
      </c>
      <c r="Q85" s="187">
        <f t="shared" si="10"/>
        <v>0</v>
      </c>
    </row>
    <row r="86" spans="1:17" s="184" customFormat="1" ht="21" customHeight="1">
      <c r="A86" s="195">
        <v>331000</v>
      </c>
      <c r="B86" s="186">
        <v>0</v>
      </c>
      <c r="C86" s="186">
        <v>0</v>
      </c>
      <c r="D86" s="186">
        <v>0</v>
      </c>
      <c r="E86" s="186">
        <v>0</v>
      </c>
      <c r="F86" s="186">
        <v>0</v>
      </c>
      <c r="G86" s="186">
        <v>0</v>
      </c>
      <c r="H86" s="186">
        <v>0</v>
      </c>
      <c r="I86" s="186">
        <v>0</v>
      </c>
      <c r="J86" s="186">
        <v>0</v>
      </c>
      <c r="K86" s="186">
        <v>0</v>
      </c>
      <c r="L86" s="186">
        <v>0</v>
      </c>
      <c r="M86" s="186">
        <v>0</v>
      </c>
      <c r="N86" s="186">
        <v>0</v>
      </c>
      <c r="O86" s="186">
        <v>0</v>
      </c>
      <c r="P86" s="186">
        <v>0</v>
      </c>
      <c r="Q86" s="187">
        <f t="shared" si="10"/>
        <v>0</v>
      </c>
    </row>
    <row r="87" spans="1:17" s="184" customFormat="1" ht="21" customHeight="1">
      <c r="A87" s="195">
        <v>331100</v>
      </c>
      <c r="B87" s="186">
        <v>5500</v>
      </c>
      <c r="C87" s="186">
        <v>0</v>
      </c>
      <c r="D87" s="186">
        <v>0</v>
      </c>
      <c r="E87" s="186">
        <v>0</v>
      </c>
      <c r="F87" s="186">
        <v>0</v>
      </c>
      <c r="G87" s="186">
        <v>0</v>
      </c>
      <c r="H87" s="186">
        <v>0</v>
      </c>
      <c r="I87" s="186">
        <v>0</v>
      </c>
      <c r="J87" s="186">
        <v>0</v>
      </c>
      <c r="K87" s="186">
        <v>0</v>
      </c>
      <c r="L87" s="186">
        <v>0</v>
      </c>
      <c r="M87" s="186">
        <v>0</v>
      </c>
      <c r="N87" s="186">
        <v>0</v>
      </c>
      <c r="O87" s="186">
        <v>0</v>
      </c>
      <c r="P87" s="186">
        <v>0</v>
      </c>
      <c r="Q87" s="187">
        <f t="shared" si="10"/>
        <v>5500</v>
      </c>
    </row>
    <row r="88" spans="1:17" s="184" customFormat="1" ht="21" customHeight="1">
      <c r="A88" s="195">
        <v>331400</v>
      </c>
      <c r="B88" s="186">
        <v>0</v>
      </c>
      <c r="C88" s="186">
        <v>0</v>
      </c>
      <c r="D88" s="186">
        <v>0</v>
      </c>
      <c r="E88" s="186">
        <v>0</v>
      </c>
      <c r="F88" s="186">
        <v>0</v>
      </c>
      <c r="G88" s="186">
        <v>0</v>
      </c>
      <c r="H88" s="186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7">
        <f t="shared" si="10"/>
        <v>0</v>
      </c>
    </row>
    <row r="89" spans="1:17" s="184" customFormat="1" ht="21" customHeight="1">
      <c r="A89" s="195">
        <v>331700</v>
      </c>
      <c r="B89" s="186">
        <v>0</v>
      </c>
      <c r="C89" s="186">
        <v>0</v>
      </c>
      <c r="D89" s="186">
        <v>0</v>
      </c>
      <c r="E89" s="186">
        <v>0</v>
      </c>
      <c r="F89" s="186">
        <v>0</v>
      </c>
      <c r="G89" s="186">
        <f>13200-13200</f>
        <v>0</v>
      </c>
      <c r="H89" s="186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7">
        <f t="shared" si="10"/>
        <v>0</v>
      </c>
    </row>
    <row r="90" spans="1:17" s="184" customFormat="1" ht="21" customHeight="1">
      <c r="A90" s="195">
        <v>331800</v>
      </c>
      <c r="B90" s="186">
        <v>0</v>
      </c>
      <c r="C90" s="186">
        <v>0</v>
      </c>
      <c r="D90" s="186">
        <v>0</v>
      </c>
      <c r="E90" s="186">
        <v>0</v>
      </c>
      <c r="F90" s="186">
        <v>0</v>
      </c>
      <c r="G90" s="186">
        <f>13200-13200</f>
        <v>0</v>
      </c>
      <c r="H90" s="186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7">
        <f t="shared" si="10"/>
        <v>0</v>
      </c>
    </row>
    <row r="91" spans="1:17" ht="18.75">
      <c r="A91" s="66" t="s">
        <v>18</v>
      </c>
      <c r="B91" s="67">
        <f aca="true" t="shared" si="11" ref="B91:P91">SUM(B79:B90)</f>
        <v>10810</v>
      </c>
      <c r="C91" s="67">
        <f t="shared" si="11"/>
        <v>5400</v>
      </c>
      <c r="D91" s="67">
        <f t="shared" si="11"/>
        <v>0</v>
      </c>
      <c r="E91" s="67">
        <f t="shared" si="11"/>
        <v>0</v>
      </c>
      <c r="F91" s="67">
        <f t="shared" si="11"/>
        <v>0</v>
      </c>
      <c r="G91" s="67">
        <f t="shared" si="11"/>
        <v>0</v>
      </c>
      <c r="H91" s="67">
        <f t="shared" si="11"/>
        <v>0</v>
      </c>
      <c r="I91" s="67">
        <f t="shared" si="11"/>
        <v>0</v>
      </c>
      <c r="J91" s="67">
        <f t="shared" si="11"/>
        <v>0</v>
      </c>
      <c r="K91" s="67">
        <f t="shared" si="11"/>
        <v>0</v>
      </c>
      <c r="L91" s="67">
        <f t="shared" si="11"/>
        <v>0</v>
      </c>
      <c r="M91" s="67">
        <f t="shared" si="11"/>
        <v>0</v>
      </c>
      <c r="N91" s="67">
        <f t="shared" si="11"/>
        <v>0</v>
      </c>
      <c r="O91" s="67">
        <f t="shared" si="11"/>
        <v>25000</v>
      </c>
      <c r="P91" s="67">
        <f t="shared" si="11"/>
        <v>0</v>
      </c>
      <c r="Q91" s="65">
        <f>SUM(B91:O91)</f>
        <v>41210</v>
      </c>
    </row>
    <row r="92" spans="1:17" s="77" customFormat="1" ht="18.75">
      <c r="A92" s="72" t="s">
        <v>19</v>
      </c>
      <c r="B92" s="75">
        <v>10810</v>
      </c>
      <c r="C92" s="75">
        <v>5400</v>
      </c>
      <c r="D92" s="75">
        <f>0</f>
        <v>0</v>
      </c>
      <c r="E92" s="75">
        <f>0</f>
        <v>0</v>
      </c>
      <c r="F92" s="75">
        <v>0</v>
      </c>
      <c r="G92" s="75">
        <v>0</v>
      </c>
      <c r="H92" s="75">
        <f>0</f>
        <v>0</v>
      </c>
      <c r="I92" s="75">
        <v>0</v>
      </c>
      <c r="J92" s="75">
        <f>0</f>
        <v>0</v>
      </c>
      <c r="K92" s="75">
        <f>0</f>
        <v>0</v>
      </c>
      <c r="L92" s="75">
        <v>0</v>
      </c>
      <c r="M92" s="75">
        <f>0</f>
        <v>0</v>
      </c>
      <c r="N92" s="75">
        <v>0</v>
      </c>
      <c r="O92" s="75">
        <v>25000</v>
      </c>
      <c r="P92" s="75">
        <f>0</f>
        <v>0</v>
      </c>
      <c r="Q92" s="76">
        <f>SUM(B92:O92)</f>
        <v>41210</v>
      </c>
    </row>
    <row r="93" spans="1:17" s="184" customFormat="1" ht="21" customHeight="1">
      <c r="A93" s="192">
        <v>534000</v>
      </c>
      <c r="B93" s="194"/>
      <c r="C93" s="193"/>
      <c r="D93" s="193"/>
      <c r="E93" s="194"/>
      <c r="F93" s="187"/>
      <c r="G93" s="193"/>
      <c r="H93" s="193"/>
      <c r="I93" s="193"/>
      <c r="J93" s="190"/>
      <c r="K93" s="187"/>
      <c r="L93" s="193"/>
      <c r="M93" s="193"/>
      <c r="N93" s="187"/>
      <c r="O93" s="193"/>
      <c r="P93" s="190"/>
      <c r="Q93" s="187"/>
    </row>
    <row r="94" spans="1:17" s="184" customFormat="1" ht="21" customHeight="1">
      <c r="A94" s="195">
        <v>340100</v>
      </c>
      <c r="B94" s="186">
        <v>9714.8</v>
      </c>
      <c r="C94" s="186">
        <v>0</v>
      </c>
      <c r="D94" s="186">
        <v>0</v>
      </c>
      <c r="E94" s="186">
        <v>0</v>
      </c>
      <c r="F94" s="186">
        <v>0</v>
      </c>
      <c r="G94" s="186">
        <v>0</v>
      </c>
      <c r="H94" s="186">
        <v>0</v>
      </c>
      <c r="I94" s="186">
        <v>0</v>
      </c>
      <c r="J94" s="186">
        <v>0</v>
      </c>
      <c r="K94" s="186">
        <v>0</v>
      </c>
      <c r="L94" s="186">
        <v>0</v>
      </c>
      <c r="M94" s="186">
        <v>0</v>
      </c>
      <c r="N94" s="186">
        <v>0</v>
      </c>
      <c r="O94" s="186">
        <v>7694.78</v>
      </c>
      <c r="P94" s="186">
        <v>0</v>
      </c>
      <c r="Q94" s="187">
        <f>SUM(B94:N94)</f>
        <v>9714.8</v>
      </c>
    </row>
    <row r="95" spans="1:17" s="184" customFormat="1" ht="21" customHeight="1">
      <c r="A95" s="195">
        <v>340300</v>
      </c>
      <c r="B95" s="186">
        <v>1683.44</v>
      </c>
      <c r="C95" s="186">
        <v>0</v>
      </c>
      <c r="D95" s="186">
        <v>0</v>
      </c>
      <c r="E95" s="186">
        <v>0</v>
      </c>
      <c r="F95" s="186">
        <v>0</v>
      </c>
      <c r="G95" s="186">
        <v>0</v>
      </c>
      <c r="H95" s="186">
        <v>0</v>
      </c>
      <c r="I95" s="186">
        <v>0</v>
      </c>
      <c r="J95" s="186">
        <v>0</v>
      </c>
      <c r="K95" s="186">
        <v>0</v>
      </c>
      <c r="L95" s="186">
        <v>0</v>
      </c>
      <c r="M95" s="186">
        <v>0</v>
      </c>
      <c r="N95" s="186">
        <v>0</v>
      </c>
      <c r="O95" s="186">
        <v>0</v>
      </c>
      <c r="P95" s="186">
        <v>0</v>
      </c>
      <c r="Q95" s="187">
        <f>SUM(B95:N95)</f>
        <v>1683.44</v>
      </c>
    </row>
    <row r="96" spans="1:17" s="184" customFormat="1" ht="21" customHeight="1">
      <c r="A96" s="195">
        <v>340400</v>
      </c>
      <c r="B96" s="186">
        <v>0</v>
      </c>
      <c r="C96" s="186">
        <v>0</v>
      </c>
      <c r="D96" s="186">
        <v>0</v>
      </c>
      <c r="E96" s="186">
        <v>0</v>
      </c>
      <c r="F96" s="186">
        <v>0</v>
      </c>
      <c r="G96" s="186">
        <v>0</v>
      </c>
      <c r="H96" s="186">
        <v>0</v>
      </c>
      <c r="I96" s="186">
        <v>0</v>
      </c>
      <c r="J96" s="186">
        <v>0</v>
      </c>
      <c r="K96" s="186">
        <v>0</v>
      </c>
      <c r="L96" s="186">
        <v>0</v>
      </c>
      <c r="M96" s="186">
        <v>0</v>
      </c>
      <c r="N96" s="186">
        <v>0</v>
      </c>
      <c r="O96" s="186">
        <v>0</v>
      </c>
      <c r="P96" s="186">
        <v>0</v>
      </c>
      <c r="Q96" s="187">
        <f>SUM(B96:N96)</f>
        <v>0</v>
      </c>
    </row>
    <row r="97" spans="1:17" s="184" customFormat="1" ht="21" customHeight="1">
      <c r="A97" s="195">
        <v>340500</v>
      </c>
      <c r="B97" s="186">
        <v>1605</v>
      </c>
      <c r="C97" s="186">
        <v>0</v>
      </c>
      <c r="D97" s="186">
        <v>0</v>
      </c>
      <c r="E97" s="186">
        <v>0</v>
      </c>
      <c r="F97" s="186">
        <v>0</v>
      </c>
      <c r="G97" s="186">
        <v>0</v>
      </c>
      <c r="H97" s="186">
        <v>0</v>
      </c>
      <c r="I97" s="186">
        <v>0</v>
      </c>
      <c r="J97" s="186">
        <v>0</v>
      </c>
      <c r="K97" s="186">
        <v>0</v>
      </c>
      <c r="L97" s="186">
        <v>0</v>
      </c>
      <c r="M97" s="186">
        <v>0</v>
      </c>
      <c r="N97" s="186">
        <v>0</v>
      </c>
      <c r="O97" s="186">
        <v>0</v>
      </c>
      <c r="P97" s="186">
        <v>0</v>
      </c>
      <c r="Q97" s="187">
        <f>SUM(B97:N97)</f>
        <v>1605</v>
      </c>
    </row>
    <row r="98" spans="1:17" ht="18.75">
      <c r="A98" s="66" t="s">
        <v>18</v>
      </c>
      <c r="B98" s="68">
        <f aca="true" t="shared" si="12" ref="B98:P98">SUM(B94:B97)</f>
        <v>13003.24</v>
      </c>
      <c r="C98" s="68">
        <f t="shared" si="12"/>
        <v>0</v>
      </c>
      <c r="D98" s="68">
        <f t="shared" si="12"/>
        <v>0</v>
      </c>
      <c r="E98" s="68">
        <f t="shared" si="12"/>
        <v>0</v>
      </c>
      <c r="F98" s="68">
        <f t="shared" si="12"/>
        <v>0</v>
      </c>
      <c r="G98" s="68">
        <f t="shared" si="12"/>
        <v>0</v>
      </c>
      <c r="H98" s="68">
        <f t="shared" si="12"/>
        <v>0</v>
      </c>
      <c r="I98" s="68">
        <f t="shared" si="12"/>
        <v>0</v>
      </c>
      <c r="J98" s="68">
        <f t="shared" si="12"/>
        <v>0</v>
      </c>
      <c r="K98" s="68">
        <f t="shared" si="12"/>
        <v>0</v>
      </c>
      <c r="L98" s="68">
        <f t="shared" si="12"/>
        <v>0</v>
      </c>
      <c r="M98" s="68">
        <f t="shared" si="12"/>
        <v>0</v>
      </c>
      <c r="N98" s="68">
        <f t="shared" si="12"/>
        <v>0</v>
      </c>
      <c r="O98" s="68">
        <f t="shared" si="12"/>
        <v>7694.78</v>
      </c>
      <c r="P98" s="68">
        <f t="shared" si="12"/>
        <v>0</v>
      </c>
      <c r="Q98" s="65">
        <f>SUM(B98:O98)</f>
        <v>20698.02</v>
      </c>
    </row>
    <row r="99" spans="1:17" s="77" customFormat="1" ht="18.75">
      <c r="A99" s="72" t="s">
        <v>19</v>
      </c>
      <c r="B99" s="75">
        <v>13003.24</v>
      </c>
      <c r="C99" s="75">
        <f>0</f>
        <v>0</v>
      </c>
      <c r="D99" s="75">
        <f>0</f>
        <v>0</v>
      </c>
      <c r="E99" s="75">
        <f>0</f>
        <v>0</v>
      </c>
      <c r="F99" s="75">
        <f>0</f>
        <v>0</v>
      </c>
      <c r="G99" s="75">
        <f>0</f>
        <v>0</v>
      </c>
      <c r="H99" s="75">
        <f>0</f>
        <v>0</v>
      </c>
      <c r="I99" s="75">
        <f>0</f>
        <v>0</v>
      </c>
      <c r="J99" s="75">
        <f>0</f>
        <v>0</v>
      </c>
      <c r="K99" s="75">
        <f>0</f>
        <v>0</v>
      </c>
      <c r="L99" s="75">
        <f>0</f>
        <v>0</v>
      </c>
      <c r="M99" s="75">
        <f>0</f>
        <v>0</v>
      </c>
      <c r="N99" s="75">
        <f>0</f>
        <v>0</v>
      </c>
      <c r="O99" s="75">
        <v>7694.78</v>
      </c>
      <c r="P99" s="75">
        <f>0</f>
        <v>0</v>
      </c>
      <c r="Q99" s="76">
        <f>SUM(B99:O99)</f>
        <v>20698.02</v>
      </c>
    </row>
    <row r="100" spans="1:17" s="77" customFormat="1" ht="17.25" customHeight="1">
      <c r="A100" s="73"/>
      <c r="B100" s="82"/>
      <c r="C100" s="373" t="s">
        <v>6</v>
      </c>
      <c r="D100" s="373"/>
      <c r="E100" s="373"/>
      <c r="F100" s="86"/>
      <c r="G100" s="86"/>
      <c r="H100" s="301"/>
      <c r="I100" s="373" t="s">
        <v>100</v>
      </c>
      <c r="J100" s="373"/>
      <c r="K100" s="373"/>
      <c r="L100" s="82"/>
      <c r="M100" s="82"/>
      <c r="N100" s="82"/>
      <c r="O100" s="82"/>
      <c r="P100" s="82"/>
      <c r="Q100" s="83"/>
    </row>
    <row r="101" spans="1:17" s="77" customFormat="1" ht="18.75">
      <c r="A101" s="73"/>
      <c r="B101" s="78"/>
      <c r="C101" s="86"/>
      <c r="D101" s="86"/>
      <c r="E101" s="86"/>
      <c r="F101" s="86"/>
      <c r="G101" s="86"/>
      <c r="H101" s="86"/>
      <c r="I101" s="86"/>
      <c r="J101" s="86"/>
      <c r="K101" s="86"/>
      <c r="L101" s="78"/>
      <c r="M101" s="78"/>
      <c r="N101" s="78"/>
      <c r="O101" s="78"/>
      <c r="P101" s="78"/>
      <c r="Q101" s="84"/>
    </row>
    <row r="102" spans="1:17" s="77" customFormat="1" ht="18.75">
      <c r="A102" s="73"/>
      <c r="B102" s="78"/>
      <c r="C102" s="86"/>
      <c r="D102" s="86"/>
      <c r="E102" s="86"/>
      <c r="F102" s="86"/>
      <c r="G102" s="86"/>
      <c r="H102" s="78"/>
      <c r="I102" s="86"/>
      <c r="J102" s="69"/>
      <c r="K102" s="69"/>
      <c r="L102" s="78"/>
      <c r="M102" s="78"/>
      <c r="N102" s="78"/>
      <c r="O102" s="78"/>
      <c r="P102" s="78"/>
      <c r="Q102" s="84"/>
    </row>
    <row r="103" spans="1:17" s="77" customFormat="1" ht="18.75">
      <c r="A103" s="73"/>
      <c r="B103" s="78"/>
      <c r="C103" s="373" t="s">
        <v>114</v>
      </c>
      <c r="D103" s="373"/>
      <c r="E103" s="373"/>
      <c r="F103" s="86"/>
      <c r="G103" s="86"/>
      <c r="H103" s="86"/>
      <c r="I103" s="373" t="s">
        <v>256</v>
      </c>
      <c r="J103" s="373"/>
      <c r="K103" s="373"/>
      <c r="L103" s="78"/>
      <c r="M103" s="78"/>
      <c r="N103" s="78"/>
      <c r="O103" s="78"/>
      <c r="P103" s="78"/>
      <c r="Q103" s="84"/>
    </row>
    <row r="104" spans="1:17" s="77" customFormat="1" ht="18.75">
      <c r="A104" s="73"/>
      <c r="B104" s="78"/>
      <c r="C104" s="373" t="s">
        <v>106</v>
      </c>
      <c r="D104" s="373"/>
      <c r="E104" s="373"/>
      <c r="F104" s="86"/>
      <c r="G104" s="86"/>
      <c r="H104" s="86"/>
      <c r="I104" s="373" t="s">
        <v>99</v>
      </c>
      <c r="J104" s="373"/>
      <c r="K104" s="373"/>
      <c r="L104" s="78"/>
      <c r="M104" s="78"/>
      <c r="N104" s="78"/>
      <c r="O104" s="78"/>
      <c r="P104" s="78"/>
      <c r="Q104" s="84"/>
    </row>
    <row r="105" spans="1:17" s="77" customFormat="1" ht="18.75">
      <c r="A105" s="73"/>
      <c r="B105" s="78"/>
      <c r="C105" s="86"/>
      <c r="D105" s="86"/>
      <c r="E105" s="86"/>
      <c r="F105" s="86"/>
      <c r="G105" s="86"/>
      <c r="H105" s="86"/>
      <c r="I105" s="78"/>
      <c r="J105" s="78"/>
      <c r="K105" s="78"/>
      <c r="L105" s="78"/>
      <c r="M105" s="78"/>
      <c r="N105" s="78"/>
      <c r="O105" s="78"/>
      <c r="P105" s="78"/>
      <c r="Q105" s="84"/>
    </row>
    <row r="106" spans="1:17" s="77" customFormat="1" ht="18.75">
      <c r="A106" s="73"/>
      <c r="B106" s="78"/>
      <c r="C106" s="86"/>
      <c r="D106" s="86"/>
      <c r="E106" s="86"/>
      <c r="F106" s="86"/>
      <c r="G106" s="86"/>
      <c r="H106" s="86"/>
      <c r="I106" s="78"/>
      <c r="J106" s="78"/>
      <c r="K106" s="78"/>
      <c r="L106" s="78"/>
      <c r="M106" s="78"/>
      <c r="N106" s="78"/>
      <c r="O106" s="78"/>
      <c r="P106" s="78"/>
      <c r="Q106" s="84"/>
    </row>
    <row r="107" spans="1:17" s="77" customFormat="1" ht="18.75">
      <c r="A107" s="73"/>
      <c r="B107" s="78"/>
      <c r="C107" s="86"/>
      <c r="D107" s="86"/>
      <c r="E107" s="86"/>
      <c r="F107" s="86"/>
      <c r="G107" s="86"/>
      <c r="H107" s="86"/>
      <c r="I107" s="78"/>
      <c r="J107" s="78"/>
      <c r="K107" s="78"/>
      <c r="L107" s="78"/>
      <c r="M107" s="78"/>
      <c r="N107" s="78"/>
      <c r="O107" s="78"/>
      <c r="P107" s="78"/>
      <c r="Q107" s="84"/>
    </row>
    <row r="108" spans="1:17" s="77" customFormat="1" ht="18.75">
      <c r="A108" s="73"/>
      <c r="B108" s="78"/>
      <c r="C108" s="86"/>
      <c r="D108" s="86"/>
      <c r="E108" s="86"/>
      <c r="F108" s="86"/>
      <c r="G108" s="86"/>
      <c r="H108" s="86"/>
      <c r="I108" s="78"/>
      <c r="J108" s="78"/>
      <c r="K108" s="78"/>
      <c r="L108" s="78"/>
      <c r="M108" s="78"/>
      <c r="N108" s="78"/>
      <c r="O108" s="78"/>
      <c r="P108" s="78"/>
      <c r="Q108" s="84"/>
    </row>
    <row r="109" spans="1:17" s="77" customFormat="1" ht="18.75">
      <c r="A109" s="73"/>
      <c r="B109" s="78"/>
      <c r="C109" s="86"/>
      <c r="D109" s="86"/>
      <c r="E109" s="86"/>
      <c r="F109" s="86"/>
      <c r="G109" s="86"/>
      <c r="H109" s="86"/>
      <c r="I109" s="78"/>
      <c r="J109" s="78"/>
      <c r="K109" s="78"/>
      <c r="L109" s="78"/>
      <c r="M109" s="78"/>
      <c r="N109" s="78"/>
      <c r="O109" s="78"/>
      <c r="P109" s="78"/>
      <c r="Q109" s="84"/>
    </row>
    <row r="110" spans="1:17" s="77" customFormat="1" ht="18.75">
      <c r="A110" s="73"/>
      <c r="B110" s="78"/>
      <c r="C110" s="86"/>
      <c r="D110" s="86"/>
      <c r="E110" s="86"/>
      <c r="F110" s="86"/>
      <c r="G110" s="86"/>
      <c r="H110" s="86"/>
      <c r="I110" s="78"/>
      <c r="J110" s="78"/>
      <c r="K110" s="78"/>
      <c r="L110" s="78"/>
      <c r="M110" s="78"/>
      <c r="N110" s="78"/>
      <c r="O110" s="78"/>
      <c r="P110" s="78"/>
      <c r="Q110" s="84"/>
    </row>
    <row r="111" spans="1:17" s="77" customFormat="1" ht="18.75">
      <c r="A111" s="73"/>
      <c r="B111" s="78"/>
      <c r="C111" s="86"/>
      <c r="D111" s="86"/>
      <c r="E111" s="86"/>
      <c r="F111" s="86"/>
      <c r="G111" s="86"/>
      <c r="H111" s="86"/>
      <c r="I111" s="78"/>
      <c r="J111" s="78"/>
      <c r="K111" s="78"/>
      <c r="L111" s="78"/>
      <c r="M111" s="78"/>
      <c r="N111" s="78"/>
      <c r="O111" s="78"/>
      <c r="P111" s="78"/>
      <c r="Q111" s="84"/>
    </row>
    <row r="112" spans="1:17" s="77" customFormat="1" ht="18.75">
      <c r="A112" s="73"/>
      <c r="B112" s="78"/>
      <c r="C112" s="86"/>
      <c r="D112" s="86"/>
      <c r="E112" s="86"/>
      <c r="F112" s="86"/>
      <c r="G112" s="86"/>
      <c r="H112" s="86"/>
      <c r="I112" s="78"/>
      <c r="J112" s="78"/>
      <c r="K112" s="78"/>
      <c r="L112" s="78"/>
      <c r="M112" s="78"/>
      <c r="N112" s="78"/>
      <c r="O112" s="78"/>
      <c r="P112" s="78"/>
      <c r="Q112" s="84"/>
    </row>
    <row r="113" spans="1:17" ht="19.5" thickBot="1">
      <c r="A113" s="374" t="s">
        <v>255</v>
      </c>
      <c r="B113" s="374"/>
      <c r="C113" s="374"/>
      <c r="D113" s="374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  <c r="Q113" s="374"/>
    </row>
    <row r="114" spans="1:17" s="55" customFormat="1" ht="18.75">
      <c r="A114" s="50" t="s">
        <v>15</v>
      </c>
      <c r="B114" s="375" t="s">
        <v>81</v>
      </c>
      <c r="C114" s="376"/>
      <c r="D114" s="375" t="s">
        <v>84</v>
      </c>
      <c r="E114" s="376"/>
      <c r="F114" s="51" t="s">
        <v>90</v>
      </c>
      <c r="G114" s="51" t="s">
        <v>91</v>
      </c>
      <c r="H114" s="52" t="s">
        <v>94</v>
      </c>
      <c r="I114" s="375" t="s">
        <v>85</v>
      </c>
      <c r="J114" s="376"/>
      <c r="K114" s="53" t="s">
        <v>95</v>
      </c>
      <c r="L114" s="375" t="s">
        <v>86</v>
      </c>
      <c r="M114" s="377"/>
      <c r="N114" s="53" t="s">
        <v>98</v>
      </c>
      <c r="O114" s="53" t="s">
        <v>110</v>
      </c>
      <c r="P114" s="51" t="s">
        <v>79</v>
      </c>
      <c r="Q114" s="54" t="s">
        <v>16</v>
      </c>
    </row>
    <row r="115" spans="1:17" s="55" customFormat="1" ht="19.5" thickBot="1">
      <c r="A115" s="56" t="s">
        <v>17</v>
      </c>
      <c r="B115" s="58" t="s">
        <v>82</v>
      </c>
      <c r="C115" s="59" t="s">
        <v>83</v>
      </c>
      <c r="D115" s="57" t="s">
        <v>75</v>
      </c>
      <c r="E115" s="57" t="s">
        <v>76</v>
      </c>
      <c r="F115" s="58" t="s">
        <v>89</v>
      </c>
      <c r="G115" s="58" t="s">
        <v>92</v>
      </c>
      <c r="H115" s="61" t="s">
        <v>93</v>
      </c>
      <c r="I115" s="57" t="s">
        <v>77</v>
      </c>
      <c r="J115" s="57" t="s">
        <v>78</v>
      </c>
      <c r="K115" s="62" t="s">
        <v>96</v>
      </c>
      <c r="L115" s="59" t="s">
        <v>134</v>
      </c>
      <c r="M115" s="60" t="s">
        <v>87</v>
      </c>
      <c r="N115" s="62" t="s">
        <v>97</v>
      </c>
      <c r="O115" s="62" t="s">
        <v>111</v>
      </c>
      <c r="P115" s="57" t="s">
        <v>80</v>
      </c>
      <c r="Q115" s="63"/>
    </row>
    <row r="116" spans="1:17" s="184" customFormat="1" ht="21" customHeight="1">
      <c r="A116" s="192">
        <v>541000</v>
      </c>
      <c r="B116" s="194"/>
      <c r="C116" s="193"/>
      <c r="D116" s="193"/>
      <c r="E116" s="194"/>
      <c r="F116" s="187"/>
      <c r="G116" s="193"/>
      <c r="H116" s="193"/>
      <c r="I116" s="193"/>
      <c r="J116" s="190"/>
      <c r="K116" s="187"/>
      <c r="L116" s="193"/>
      <c r="M116" s="193"/>
      <c r="N116" s="187"/>
      <c r="O116" s="193"/>
      <c r="P116" s="190"/>
      <c r="Q116" s="187"/>
    </row>
    <row r="117" spans="1:17" s="184" customFormat="1" ht="21" customHeight="1">
      <c r="A117" s="206">
        <v>410100</v>
      </c>
      <c r="B117" s="188">
        <f>13500-13500</f>
        <v>0</v>
      </c>
      <c r="C117" s="186">
        <v>0</v>
      </c>
      <c r="D117" s="186">
        <v>0</v>
      </c>
      <c r="E117" s="188">
        <f>22500-9000-13500</f>
        <v>0</v>
      </c>
      <c r="F117" s="186">
        <v>0</v>
      </c>
      <c r="G117" s="186">
        <v>0</v>
      </c>
      <c r="H117" s="186">
        <v>0</v>
      </c>
      <c r="I117" s="186">
        <v>0</v>
      </c>
      <c r="J117" s="186">
        <v>0</v>
      </c>
      <c r="K117" s="186">
        <v>0</v>
      </c>
      <c r="L117" s="187">
        <v>0</v>
      </c>
      <c r="M117" s="186">
        <v>0</v>
      </c>
      <c r="N117" s="186">
        <v>0</v>
      </c>
      <c r="O117" s="186">
        <v>0</v>
      </c>
      <c r="P117" s="186">
        <v>0</v>
      </c>
      <c r="Q117" s="187">
        <f aca="true" t="shared" si="13" ref="Q117:Q122">SUM(B117:N117)</f>
        <v>0</v>
      </c>
    </row>
    <row r="118" spans="1:17" s="184" customFormat="1" ht="21" customHeight="1">
      <c r="A118" s="195">
        <v>410300</v>
      </c>
      <c r="B118" s="186">
        <v>0</v>
      </c>
      <c r="C118" s="186">
        <v>0</v>
      </c>
      <c r="D118" s="186">
        <v>0</v>
      </c>
      <c r="E118" s="186">
        <v>0</v>
      </c>
      <c r="F118" s="186">
        <v>0</v>
      </c>
      <c r="G118" s="186">
        <v>0</v>
      </c>
      <c r="H118" s="186">
        <v>0</v>
      </c>
      <c r="I118" s="186">
        <v>0</v>
      </c>
      <c r="J118" s="186">
        <v>0</v>
      </c>
      <c r="K118" s="186">
        <v>0</v>
      </c>
      <c r="L118" s="186">
        <v>0</v>
      </c>
      <c r="M118" s="186">
        <v>0</v>
      </c>
      <c r="N118" s="186">
        <v>0</v>
      </c>
      <c r="O118" s="186">
        <v>0</v>
      </c>
      <c r="P118" s="186">
        <v>0</v>
      </c>
      <c r="Q118" s="187">
        <f t="shared" si="13"/>
        <v>0</v>
      </c>
    </row>
    <row r="119" spans="1:17" s="184" customFormat="1" ht="21" customHeight="1">
      <c r="A119" s="195">
        <v>410700</v>
      </c>
      <c r="B119" s="186">
        <v>0</v>
      </c>
      <c r="C119" s="186">
        <v>0</v>
      </c>
      <c r="D119" s="186">
        <v>0</v>
      </c>
      <c r="E119" s="186">
        <v>0</v>
      </c>
      <c r="F119" s="186">
        <v>0</v>
      </c>
      <c r="G119" s="186">
        <v>0</v>
      </c>
      <c r="H119" s="186">
        <v>0</v>
      </c>
      <c r="I119" s="186">
        <v>0</v>
      </c>
      <c r="J119" s="186">
        <v>0</v>
      </c>
      <c r="K119" s="186">
        <v>0</v>
      </c>
      <c r="L119" s="186">
        <v>0</v>
      </c>
      <c r="M119" s="186">
        <v>0</v>
      </c>
      <c r="N119" s="186">
        <v>0</v>
      </c>
      <c r="O119" s="186">
        <v>0</v>
      </c>
      <c r="P119" s="186">
        <v>0</v>
      </c>
      <c r="Q119" s="187">
        <f t="shared" si="13"/>
        <v>0</v>
      </c>
    </row>
    <row r="120" spans="1:17" s="184" customFormat="1" ht="21" customHeight="1">
      <c r="A120" s="195">
        <v>410800</v>
      </c>
      <c r="B120" s="186">
        <v>0</v>
      </c>
      <c r="C120" s="186">
        <v>0</v>
      </c>
      <c r="D120" s="186">
        <v>0</v>
      </c>
      <c r="E120" s="186">
        <v>0</v>
      </c>
      <c r="F120" s="186">
        <v>0</v>
      </c>
      <c r="G120" s="186">
        <v>0</v>
      </c>
      <c r="H120" s="186">
        <v>0</v>
      </c>
      <c r="I120" s="186">
        <v>0</v>
      </c>
      <c r="J120" s="186">
        <v>0</v>
      </c>
      <c r="K120" s="186">
        <f>47500-47500</f>
        <v>0</v>
      </c>
      <c r="L120" s="186">
        <v>0</v>
      </c>
      <c r="M120" s="186">
        <v>0</v>
      </c>
      <c r="N120" s="186">
        <v>0</v>
      </c>
      <c r="O120" s="186">
        <v>0</v>
      </c>
      <c r="P120" s="186">
        <v>0</v>
      </c>
      <c r="Q120" s="187">
        <f t="shared" si="13"/>
        <v>0</v>
      </c>
    </row>
    <row r="121" spans="1:17" s="184" customFormat="1" ht="21" customHeight="1">
      <c r="A121" s="195">
        <v>410900</v>
      </c>
      <c r="B121" s="186">
        <v>0</v>
      </c>
      <c r="C121" s="186">
        <v>0</v>
      </c>
      <c r="D121" s="186">
        <v>0</v>
      </c>
      <c r="E121" s="186">
        <v>0</v>
      </c>
      <c r="F121" s="186">
        <v>0</v>
      </c>
      <c r="G121" s="186">
        <v>0</v>
      </c>
      <c r="H121" s="186">
        <v>0</v>
      </c>
      <c r="I121" s="186">
        <v>0</v>
      </c>
      <c r="J121" s="186">
        <v>0</v>
      </c>
      <c r="K121" s="186">
        <v>0</v>
      </c>
      <c r="L121" s="186">
        <v>0</v>
      </c>
      <c r="M121" s="186">
        <v>0</v>
      </c>
      <c r="N121" s="186">
        <v>0</v>
      </c>
      <c r="O121" s="186">
        <v>0</v>
      </c>
      <c r="P121" s="186">
        <v>0</v>
      </c>
      <c r="Q121" s="187">
        <f t="shared" si="13"/>
        <v>0</v>
      </c>
    </row>
    <row r="122" spans="1:17" s="184" customFormat="1" ht="21" customHeight="1">
      <c r="A122" s="195">
        <v>411700</v>
      </c>
      <c r="B122" s="186">
        <v>0</v>
      </c>
      <c r="C122" s="186">
        <f>27000-27000</f>
        <v>0</v>
      </c>
      <c r="D122" s="186">
        <v>0</v>
      </c>
      <c r="E122" s="186">
        <v>0</v>
      </c>
      <c r="F122" s="186">
        <v>0</v>
      </c>
      <c r="G122" s="186">
        <v>0</v>
      </c>
      <c r="H122" s="186">
        <v>0</v>
      </c>
      <c r="I122" s="186">
        <v>0</v>
      </c>
      <c r="J122" s="186">
        <v>0</v>
      </c>
      <c r="K122" s="186">
        <v>0</v>
      </c>
      <c r="L122" s="186">
        <v>0</v>
      </c>
      <c r="M122" s="186">
        <v>0</v>
      </c>
      <c r="N122" s="186">
        <v>0</v>
      </c>
      <c r="O122" s="186">
        <v>0</v>
      </c>
      <c r="P122" s="186">
        <v>0</v>
      </c>
      <c r="Q122" s="187">
        <f t="shared" si="13"/>
        <v>0</v>
      </c>
    </row>
    <row r="123" spans="1:17" ht="18.75">
      <c r="A123" s="66" t="s">
        <v>18</v>
      </c>
      <c r="B123" s="68">
        <f aca="true" t="shared" si="14" ref="B123:O123">SUM(B117:B122)</f>
        <v>0</v>
      </c>
      <c r="C123" s="68">
        <f t="shared" si="14"/>
        <v>0</v>
      </c>
      <c r="D123" s="68">
        <f t="shared" si="14"/>
        <v>0</v>
      </c>
      <c r="E123" s="68">
        <f t="shared" si="14"/>
        <v>0</v>
      </c>
      <c r="F123" s="68">
        <f t="shared" si="14"/>
        <v>0</v>
      </c>
      <c r="G123" s="68">
        <f t="shared" si="14"/>
        <v>0</v>
      </c>
      <c r="H123" s="68">
        <f t="shared" si="14"/>
        <v>0</v>
      </c>
      <c r="I123" s="68">
        <f t="shared" si="14"/>
        <v>0</v>
      </c>
      <c r="J123" s="68">
        <f t="shared" si="14"/>
        <v>0</v>
      </c>
      <c r="K123" s="68">
        <f t="shared" si="14"/>
        <v>0</v>
      </c>
      <c r="L123" s="68">
        <f t="shared" si="14"/>
        <v>0</v>
      </c>
      <c r="M123" s="68">
        <f t="shared" si="14"/>
        <v>0</v>
      </c>
      <c r="N123" s="68">
        <f t="shared" si="14"/>
        <v>0</v>
      </c>
      <c r="O123" s="68">
        <f t="shared" si="14"/>
        <v>0</v>
      </c>
      <c r="P123" s="68">
        <f>SUM(P117:P122)</f>
        <v>0</v>
      </c>
      <c r="Q123" s="65">
        <f>SUM(B123:O123)</f>
        <v>0</v>
      </c>
    </row>
    <row r="124" spans="1:17" s="77" customFormat="1" ht="18.75">
      <c r="A124" s="72" t="s">
        <v>19</v>
      </c>
      <c r="B124" s="75">
        <v>0</v>
      </c>
      <c r="C124" s="75">
        <v>0</v>
      </c>
      <c r="D124" s="75">
        <v>0</v>
      </c>
      <c r="E124" s="75">
        <f>0</f>
        <v>0</v>
      </c>
      <c r="F124" s="75">
        <v>0</v>
      </c>
      <c r="G124" s="75">
        <v>0</v>
      </c>
      <c r="H124" s="75">
        <f>0</f>
        <v>0</v>
      </c>
      <c r="I124" s="75">
        <v>0</v>
      </c>
      <c r="J124" s="75">
        <f>0</f>
        <v>0</v>
      </c>
      <c r="K124" s="75">
        <f>0</f>
        <v>0</v>
      </c>
      <c r="L124" s="75">
        <f>0</f>
        <v>0</v>
      </c>
      <c r="M124" s="75">
        <f>0</f>
        <v>0</v>
      </c>
      <c r="N124" s="75">
        <v>0</v>
      </c>
      <c r="O124" s="75">
        <v>0</v>
      </c>
      <c r="P124" s="75">
        <f>0</f>
        <v>0</v>
      </c>
      <c r="Q124" s="81">
        <f>SUM(B124:O124)</f>
        <v>0</v>
      </c>
    </row>
    <row r="125" spans="1:17" s="184" customFormat="1" ht="21" customHeight="1">
      <c r="A125" s="192">
        <v>542000</v>
      </c>
      <c r="B125" s="194"/>
      <c r="C125" s="193"/>
      <c r="D125" s="193"/>
      <c r="E125" s="194"/>
      <c r="F125" s="187"/>
      <c r="G125" s="193"/>
      <c r="H125" s="193"/>
      <c r="I125" s="193"/>
      <c r="J125" s="190"/>
      <c r="K125" s="187"/>
      <c r="L125" s="193"/>
      <c r="M125" s="193"/>
      <c r="N125" s="187"/>
      <c r="O125" s="193"/>
      <c r="P125" s="190"/>
      <c r="Q125" s="187"/>
    </row>
    <row r="126" spans="1:17" s="184" customFormat="1" ht="18.75">
      <c r="A126" s="189">
        <v>420700</v>
      </c>
      <c r="B126" s="190">
        <v>0</v>
      </c>
      <c r="C126" s="190">
        <v>0</v>
      </c>
      <c r="D126" s="190">
        <v>0</v>
      </c>
      <c r="E126" s="190">
        <v>0</v>
      </c>
      <c r="F126" s="190">
        <v>0</v>
      </c>
      <c r="G126" s="190">
        <v>0</v>
      </c>
      <c r="H126" s="190">
        <v>0</v>
      </c>
      <c r="I126" s="190">
        <v>0</v>
      </c>
      <c r="J126" s="190">
        <v>0</v>
      </c>
      <c r="K126" s="190">
        <v>0</v>
      </c>
      <c r="L126" s="215">
        <v>0</v>
      </c>
      <c r="M126" s="190">
        <v>0</v>
      </c>
      <c r="N126" s="190">
        <v>0</v>
      </c>
      <c r="O126" s="190">
        <v>0</v>
      </c>
      <c r="P126" s="190">
        <v>0</v>
      </c>
      <c r="Q126" s="187">
        <f>SUM(B126:N126)</f>
        <v>0</v>
      </c>
    </row>
    <row r="127" spans="1:17" s="184" customFormat="1" ht="18.75">
      <c r="A127" s="189">
        <v>420900</v>
      </c>
      <c r="B127" s="190">
        <v>0</v>
      </c>
      <c r="C127" s="190">
        <v>0</v>
      </c>
      <c r="D127" s="190">
        <v>0</v>
      </c>
      <c r="E127" s="190">
        <v>0</v>
      </c>
      <c r="F127" s="190">
        <v>0</v>
      </c>
      <c r="G127" s="190">
        <v>0</v>
      </c>
      <c r="H127" s="190">
        <v>0</v>
      </c>
      <c r="I127" s="190">
        <v>0</v>
      </c>
      <c r="J127" s="190">
        <v>0</v>
      </c>
      <c r="K127" s="190">
        <v>0</v>
      </c>
      <c r="L127" s="190">
        <v>0</v>
      </c>
      <c r="M127" s="190">
        <v>0</v>
      </c>
      <c r="N127" s="190">
        <v>0</v>
      </c>
      <c r="O127" s="190">
        <v>0</v>
      </c>
      <c r="P127" s="190">
        <v>0</v>
      </c>
      <c r="Q127" s="187">
        <f>SUM(B127:N127)</f>
        <v>0</v>
      </c>
    </row>
    <row r="128" spans="1:17" s="184" customFormat="1" ht="18.75">
      <c r="A128" s="189">
        <v>421000</v>
      </c>
      <c r="B128" s="190">
        <v>0</v>
      </c>
      <c r="C128" s="190">
        <v>0</v>
      </c>
      <c r="D128" s="190">
        <v>0</v>
      </c>
      <c r="E128" s="190">
        <v>0</v>
      </c>
      <c r="F128" s="190">
        <v>0</v>
      </c>
      <c r="G128" s="190">
        <v>0</v>
      </c>
      <c r="H128" s="190">
        <v>0</v>
      </c>
      <c r="I128" s="190">
        <v>0</v>
      </c>
      <c r="J128" s="190">
        <v>0</v>
      </c>
      <c r="K128" s="190">
        <v>0</v>
      </c>
      <c r="L128" s="215">
        <v>0</v>
      </c>
      <c r="M128" s="190">
        <v>0</v>
      </c>
      <c r="N128" s="190">
        <v>0</v>
      </c>
      <c r="O128" s="190">
        <v>0</v>
      </c>
      <c r="P128" s="190">
        <v>0</v>
      </c>
      <c r="Q128" s="187">
        <f>SUM(B128:N128)</f>
        <v>0</v>
      </c>
    </row>
    <row r="129" spans="1:17" ht="18.75">
      <c r="A129" s="66" t="s">
        <v>18</v>
      </c>
      <c r="B129" s="68">
        <f aca="true" t="shared" si="15" ref="B129:O129">SUM(B126:B128)</f>
        <v>0</v>
      </c>
      <c r="C129" s="68">
        <f t="shared" si="15"/>
        <v>0</v>
      </c>
      <c r="D129" s="68">
        <f t="shared" si="15"/>
        <v>0</v>
      </c>
      <c r="E129" s="68">
        <f t="shared" si="15"/>
        <v>0</v>
      </c>
      <c r="F129" s="68">
        <f t="shared" si="15"/>
        <v>0</v>
      </c>
      <c r="G129" s="68">
        <f t="shared" si="15"/>
        <v>0</v>
      </c>
      <c r="H129" s="68">
        <f t="shared" si="15"/>
        <v>0</v>
      </c>
      <c r="I129" s="68">
        <f t="shared" si="15"/>
        <v>0</v>
      </c>
      <c r="J129" s="68">
        <f t="shared" si="15"/>
        <v>0</v>
      </c>
      <c r="K129" s="68">
        <f t="shared" si="15"/>
        <v>0</v>
      </c>
      <c r="L129" s="68">
        <f t="shared" si="15"/>
        <v>0</v>
      </c>
      <c r="M129" s="68">
        <f t="shared" si="15"/>
        <v>0</v>
      </c>
      <c r="N129" s="68">
        <f t="shared" si="15"/>
        <v>0</v>
      </c>
      <c r="O129" s="68">
        <f t="shared" si="15"/>
        <v>0</v>
      </c>
      <c r="P129" s="68">
        <f>SUM(P126:P128)</f>
        <v>0</v>
      </c>
      <c r="Q129" s="65">
        <f>SUM(B129:O129)</f>
        <v>0</v>
      </c>
    </row>
    <row r="130" spans="1:17" s="77" customFormat="1" ht="18.75">
      <c r="A130" s="72" t="s">
        <v>19</v>
      </c>
      <c r="B130" s="75">
        <v>0</v>
      </c>
      <c r="C130" s="75">
        <f>0</f>
        <v>0</v>
      </c>
      <c r="D130" s="75">
        <f>0</f>
        <v>0</v>
      </c>
      <c r="E130" s="75">
        <f>0</f>
        <v>0</v>
      </c>
      <c r="F130" s="75">
        <f>0</f>
        <v>0</v>
      </c>
      <c r="G130" s="75">
        <f>0</f>
        <v>0</v>
      </c>
      <c r="H130" s="75">
        <f>0</f>
        <v>0</v>
      </c>
      <c r="I130" s="75">
        <v>0</v>
      </c>
      <c r="J130" s="75">
        <v>0</v>
      </c>
      <c r="K130" s="75">
        <f>0</f>
        <v>0</v>
      </c>
      <c r="L130" s="75">
        <f>0</f>
        <v>0</v>
      </c>
      <c r="M130" s="75">
        <f>0</f>
        <v>0</v>
      </c>
      <c r="N130" s="75">
        <v>0</v>
      </c>
      <c r="O130" s="75">
        <f>0</f>
        <v>0</v>
      </c>
      <c r="P130" s="75">
        <f>0</f>
        <v>0</v>
      </c>
      <c r="Q130" s="81">
        <f>SUM(B130:O130)</f>
        <v>0</v>
      </c>
    </row>
    <row r="131" spans="1:17" s="184" customFormat="1" ht="21" customHeight="1">
      <c r="A131" s="192">
        <v>551000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87"/>
    </row>
    <row r="132" spans="1:17" s="184" customFormat="1" ht="21" customHeight="1">
      <c r="A132" s="195">
        <v>510100</v>
      </c>
      <c r="B132" s="186">
        <v>0</v>
      </c>
      <c r="C132" s="186">
        <v>0</v>
      </c>
      <c r="D132" s="186">
        <v>0</v>
      </c>
      <c r="E132" s="186">
        <v>0</v>
      </c>
      <c r="F132" s="186">
        <v>0</v>
      </c>
      <c r="G132" s="186">
        <v>0</v>
      </c>
      <c r="H132" s="186">
        <v>0</v>
      </c>
      <c r="I132" s="186">
        <v>0</v>
      </c>
      <c r="J132" s="186">
        <v>0</v>
      </c>
      <c r="K132" s="186">
        <v>0</v>
      </c>
      <c r="L132" s="186">
        <v>0</v>
      </c>
      <c r="M132" s="186">
        <v>0</v>
      </c>
      <c r="N132" s="186">
        <v>0</v>
      </c>
      <c r="O132" s="186">
        <v>0</v>
      </c>
      <c r="P132" s="186">
        <v>0</v>
      </c>
      <c r="Q132" s="187">
        <f>SUM(B132:N132)</f>
        <v>0</v>
      </c>
    </row>
    <row r="133" spans="1:17" ht="18.75">
      <c r="A133" s="66" t="s">
        <v>18</v>
      </c>
      <c r="B133" s="67">
        <f aca="true" t="shared" si="16" ref="B133:P133">SUM(B132)</f>
        <v>0</v>
      </c>
      <c r="C133" s="67">
        <f t="shared" si="16"/>
        <v>0</v>
      </c>
      <c r="D133" s="67">
        <f t="shared" si="16"/>
        <v>0</v>
      </c>
      <c r="E133" s="67">
        <f t="shared" si="16"/>
        <v>0</v>
      </c>
      <c r="F133" s="67">
        <f t="shared" si="16"/>
        <v>0</v>
      </c>
      <c r="G133" s="67">
        <f t="shared" si="16"/>
        <v>0</v>
      </c>
      <c r="H133" s="67">
        <f t="shared" si="16"/>
        <v>0</v>
      </c>
      <c r="I133" s="67">
        <f t="shared" si="16"/>
        <v>0</v>
      </c>
      <c r="J133" s="67">
        <f t="shared" si="16"/>
        <v>0</v>
      </c>
      <c r="K133" s="67">
        <f t="shared" si="16"/>
        <v>0</v>
      </c>
      <c r="L133" s="67">
        <f t="shared" si="16"/>
        <v>0</v>
      </c>
      <c r="M133" s="67">
        <f t="shared" si="16"/>
        <v>0</v>
      </c>
      <c r="N133" s="67">
        <f t="shared" si="16"/>
        <v>0</v>
      </c>
      <c r="O133" s="67">
        <f t="shared" si="16"/>
        <v>0</v>
      </c>
      <c r="P133" s="67">
        <f t="shared" si="16"/>
        <v>0</v>
      </c>
      <c r="Q133" s="68">
        <f>SUM(B133:O133)</f>
        <v>0</v>
      </c>
    </row>
    <row r="134" spans="1:17" s="77" customFormat="1" ht="18.75">
      <c r="A134" s="72" t="s">
        <v>19</v>
      </c>
      <c r="B134" s="75">
        <v>0</v>
      </c>
      <c r="C134" s="75">
        <f>0</f>
        <v>0</v>
      </c>
      <c r="D134" s="75">
        <v>0</v>
      </c>
      <c r="E134" s="75">
        <v>0</v>
      </c>
      <c r="F134" s="75">
        <v>0</v>
      </c>
      <c r="G134" s="75">
        <v>0</v>
      </c>
      <c r="H134" s="75">
        <v>0</v>
      </c>
      <c r="I134" s="75">
        <f>0</f>
        <v>0</v>
      </c>
      <c r="J134" s="75">
        <f>0</f>
        <v>0</v>
      </c>
      <c r="K134" s="75">
        <v>0</v>
      </c>
      <c r="L134" s="75">
        <f>0</f>
        <v>0</v>
      </c>
      <c r="M134" s="75">
        <v>0</v>
      </c>
      <c r="N134" s="75">
        <v>0</v>
      </c>
      <c r="O134" s="75">
        <v>0</v>
      </c>
      <c r="P134" s="75">
        <f>0</f>
        <v>0</v>
      </c>
      <c r="Q134" s="76">
        <f>SUM(B134:O134)</f>
        <v>0</v>
      </c>
    </row>
    <row r="135" spans="1:17" s="184" customFormat="1" ht="21" customHeight="1">
      <c r="A135" s="192">
        <v>561000</v>
      </c>
      <c r="B135" s="194"/>
      <c r="C135" s="193"/>
      <c r="D135" s="193"/>
      <c r="E135" s="194"/>
      <c r="F135" s="187"/>
      <c r="G135" s="193"/>
      <c r="H135" s="193"/>
      <c r="I135" s="193"/>
      <c r="J135" s="190"/>
      <c r="K135" s="187"/>
      <c r="L135" s="193"/>
      <c r="M135" s="193"/>
      <c r="N135" s="187"/>
      <c r="O135" s="193"/>
      <c r="P135" s="190"/>
      <c r="Q135" s="187"/>
    </row>
    <row r="136" spans="1:17" s="184" customFormat="1" ht="21" customHeight="1">
      <c r="A136" s="195">
        <v>610100</v>
      </c>
      <c r="B136" s="186">
        <v>0</v>
      </c>
      <c r="C136" s="186">
        <v>0</v>
      </c>
      <c r="D136" s="186">
        <v>0</v>
      </c>
      <c r="E136" s="186">
        <f>1025600-335000-355600-335000</f>
        <v>0</v>
      </c>
      <c r="F136" s="186">
        <f>18970-18970</f>
        <v>0</v>
      </c>
      <c r="G136" s="186">
        <v>0</v>
      </c>
      <c r="H136" s="186">
        <v>0</v>
      </c>
      <c r="I136" s="186">
        <v>0</v>
      </c>
      <c r="J136" s="186">
        <v>0</v>
      </c>
      <c r="K136" s="207">
        <v>0</v>
      </c>
      <c r="L136" s="186">
        <v>0</v>
      </c>
      <c r="M136" s="186">
        <v>0</v>
      </c>
      <c r="N136" s="207">
        <v>0</v>
      </c>
      <c r="O136" s="186">
        <v>0</v>
      </c>
      <c r="P136" s="186">
        <f>10000-10000</f>
        <v>0</v>
      </c>
      <c r="Q136" s="187">
        <f>SUM(B136:N136)</f>
        <v>0</v>
      </c>
    </row>
    <row r="137" spans="1:17" ht="18.75">
      <c r="A137" s="66" t="s">
        <v>18</v>
      </c>
      <c r="B137" s="67">
        <f aca="true" t="shared" si="17" ref="B137:O137">SUM(B136)</f>
        <v>0</v>
      </c>
      <c r="C137" s="67">
        <f t="shared" si="17"/>
        <v>0</v>
      </c>
      <c r="D137" s="67">
        <f t="shared" si="17"/>
        <v>0</v>
      </c>
      <c r="E137" s="67">
        <f t="shared" si="17"/>
        <v>0</v>
      </c>
      <c r="F137" s="67">
        <f t="shared" si="17"/>
        <v>0</v>
      </c>
      <c r="G137" s="67">
        <f t="shared" si="17"/>
        <v>0</v>
      </c>
      <c r="H137" s="67">
        <f t="shared" si="17"/>
        <v>0</v>
      </c>
      <c r="I137" s="67">
        <f t="shared" si="17"/>
        <v>0</v>
      </c>
      <c r="J137" s="67">
        <f t="shared" si="17"/>
        <v>0</v>
      </c>
      <c r="K137" s="67">
        <f t="shared" si="17"/>
        <v>0</v>
      </c>
      <c r="L137" s="67">
        <f t="shared" si="17"/>
        <v>0</v>
      </c>
      <c r="M137" s="67">
        <f t="shared" si="17"/>
        <v>0</v>
      </c>
      <c r="N137" s="67">
        <f t="shared" si="17"/>
        <v>0</v>
      </c>
      <c r="O137" s="67">
        <f t="shared" si="17"/>
        <v>0</v>
      </c>
      <c r="P137" s="67">
        <f>SUM(P136)</f>
        <v>0</v>
      </c>
      <c r="Q137" s="68">
        <f>SUM(B137:O137)</f>
        <v>0</v>
      </c>
    </row>
    <row r="138" spans="1:17" s="77" customFormat="1" ht="18.75">
      <c r="A138" s="72" t="s">
        <v>19</v>
      </c>
      <c r="B138" s="75">
        <v>0</v>
      </c>
      <c r="C138" s="75">
        <f>0</f>
        <v>0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75">
        <f>0</f>
        <v>0</v>
      </c>
      <c r="J138" s="75">
        <f>0</f>
        <v>0</v>
      </c>
      <c r="K138" s="75">
        <v>0</v>
      </c>
      <c r="L138" s="75">
        <f>0</f>
        <v>0</v>
      </c>
      <c r="M138" s="75">
        <v>0</v>
      </c>
      <c r="N138" s="75">
        <v>0</v>
      </c>
      <c r="O138" s="75">
        <v>0</v>
      </c>
      <c r="P138" s="75">
        <f>0</f>
        <v>0</v>
      </c>
      <c r="Q138" s="76">
        <f>SUM(B138:O138)</f>
        <v>0</v>
      </c>
    </row>
    <row r="139" spans="1:17" ht="18.75">
      <c r="A139" s="66" t="s">
        <v>72</v>
      </c>
      <c r="B139" s="68">
        <f aca="true" t="shared" si="18" ref="B139:O139">B14+B22+B29+B48+B56+B91+B98+B123+B129+B133+B137</f>
        <v>272208.24</v>
      </c>
      <c r="C139" s="68">
        <f t="shared" si="18"/>
        <v>65020</v>
      </c>
      <c r="D139" s="68">
        <f t="shared" si="18"/>
        <v>0</v>
      </c>
      <c r="E139" s="68">
        <f t="shared" si="18"/>
        <v>0</v>
      </c>
      <c r="F139" s="68">
        <f aca="true" t="shared" si="19" ref="F139:H140">F14+F22+F29+F48+F56+F91+F98+F123+F129+F133+F137</f>
        <v>16420</v>
      </c>
      <c r="G139" s="68">
        <f t="shared" si="19"/>
        <v>0</v>
      </c>
      <c r="H139" s="68">
        <f t="shared" si="19"/>
        <v>0</v>
      </c>
      <c r="I139" s="68">
        <f t="shared" si="18"/>
        <v>43550</v>
      </c>
      <c r="J139" s="68">
        <f t="shared" si="18"/>
        <v>0</v>
      </c>
      <c r="K139" s="68">
        <f>K14+K22+K29+K48+K56+K91+K98+K123+K129+K133+K137</f>
        <v>0</v>
      </c>
      <c r="L139" s="68">
        <f t="shared" si="18"/>
        <v>0</v>
      </c>
      <c r="M139" s="68">
        <f t="shared" si="18"/>
        <v>0</v>
      </c>
      <c r="N139" s="68">
        <f t="shared" si="18"/>
        <v>0</v>
      </c>
      <c r="O139" s="68">
        <f t="shared" si="18"/>
        <v>32694.78</v>
      </c>
      <c r="P139" s="68">
        <f>P14+P22+P29+P48+P56+P91+P98+P123+P129+P133+P137</f>
        <v>0</v>
      </c>
      <c r="Q139" s="68">
        <f>SUM(B139:O139)</f>
        <v>429893.02</v>
      </c>
    </row>
    <row r="140" spans="1:19" s="77" customFormat="1" ht="18.75">
      <c r="A140" s="72" t="s">
        <v>73</v>
      </c>
      <c r="B140" s="76">
        <f aca="true" t="shared" si="20" ref="B140:O140">B15+B23+B30+B49+B57+B92+B99+B124+B130+B134+B138</f>
        <v>272208.24</v>
      </c>
      <c r="C140" s="76">
        <f t="shared" si="20"/>
        <v>65020</v>
      </c>
      <c r="D140" s="76">
        <f t="shared" si="20"/>
        <v>0</v>
      </c>
      <c r="E140" s="76">
        <f t="shared" si="20"/>
        <v>0</v>
      </c>
      <c r="F140" s="76">
        <f t="shared" si="19"/>
        <v>16420</v>
      </c>
      <c r="G140" s="76">
        <f t="shared" si="19"/>
        <v>0</v>
      </c>
      <c r="H140" s="76">
        <f t="shared" si="19"/>
        <v>0</v>
      </c>
      <c r="I140" s="76">
        <f t="shared" si="20"/>
        <v>43550</v>
      </c>
      <c r="J140" s="76">
        <f t="shared" si="20"/>
        <v>0</v>
      </c>
      <c r="K140" s="76">
        <f>K15+K23+K30+K49+K57+K92+K99+K124+K130+K134+K138</f>
        <v>0</v>
      </c>
      <c r="L140" s="76">
        <f t="shared" si="20"/>
        <v>0</v>
      </c>
      <c r="M140" s="76">
        <f t="shared" si="20"/>
        <v>0</v>
      </c>
      <c r="N140" s="76">
        <f t="shared" si="20"/>
        <v>0</v>
      </c>
      <c r="O140" s="76">
        <f t="shared" si="20"/>
        <v>32694.78</v>
      </c>
      <c r="P140" s="76">
        <f>P15+P23+P30+P49+P57+P92+P99+P124+P130+P134+P138</f>
        <v>0</v>
      </c>
      <c r="Q140" s="76">
        <f>SUM(B140:O140)</f>
        <v>429893.02</v>
      </c>
      <c r="S140" s="214"/>
    </row>
    <row r="141" spans="1:17" s="77" customFormat="1" ht="17.25" customHeight="1">
      <c r="A141" s="73"/>
      <c r="B141" s="82"/>
      <c r="C141" s="373" t="s">
        <v>6</v>
      </c>
      <c r="D141" s="373"/>
      <c r="E141" s="373"/>
      <c r="F141" s="86"/>
      <c r="G141" s="86"/>
      <c r="H141" s="301"/>
      <c r="I141" s="373" t="s">
        <v>100</v>
      </c>
      <c r="J141" s="373"/>
      <c r="K141" s="373"/>
      <c r="L141" s="82"/>
      <c r="M141" s="82"/>
      <c r="N141" s="82"/>
      <c r="O141" s="82"/>
      <c r="P141" s="82"/>
      <c r="Q141" s="83"/>
    </row>
    <row r="142" spans="1:17" s="77" customFormat="1" ht="18.75">
      <c r="A142" s="73"/>
      <c r="B142" s="78"/>
      <c r="C142" s="86"/>
      <c r="D142" s="86"/>
      <c r="E142" s="86"/>
      <c r="F142" s="86"/>
      <c r="G142" s="86"/>
      <c r="H142" s="78"/>
      <c r="I142" s="86"/>
      <c r="J142" s="86"/>
      <c r="K142" s="86"/>
      <c r="L142" s="78"/>
      <c r="M142" s="78"/>
      <c r="N142" s="78"/>
      <c r="O142" s="78"/>
      <c r="P142" s="78"/>
      <c r="Q142" s="84"/>
    </row>
    <row r="143" spans="1:17" s="77" customFormat="1" ht="18.75">
      <c r="A143" s="73"/>
      <c r="B143" s="78"/>
      <c r="C143" s="373" t="s">
        <v>114</v>
      </c>
      <c r="D143" s="373"/>
      <c r="E143" s="373"/>
      <c r="F143" s="86"/>
      <c r="G143" s="86"/>
      <c r="H143" s="86"/>
      <c r="I143" s="373" t="s">
        <v>256</v>
      </c>
      <c r="J143" s="373"/>
      <c r="K143" s="373"/>
      <c r="L143" s="78"/>
      <c r="M143" s="78"/>
      <c r="N143" s="78"/>
      <c r="O143" s="78"/>
      <c r="P143" s="78"/>
      <c r="Q143" s="84"/>
    </row>
    <row r="144" spans="1:17" s="77" customFormat="1" ht="18.75">
      <c r="A144" s="73"/>
      <c r="B144" s="78"/>
      <c r="C144" s="373" t="s">
        <v>106</v>
      </c>
      <c r="D144" s="373"/>
      <c r="E144" s="373"/>
      <c r="F144" s="86"/>
      <c r="G144" s="86"/>
      <c r="H144" s="86"/>
      <c r="I144" s="373" t="s">
        <v>99</v>
      </c>
      <c r="J144" s="373"/>
      <c r="K144" s="373"/>
      <c r="L144" s="78"/>
      <c r="M144" s="78"/>
      <c r="N144" s="78"/>
      <c r="O144" s="78"/>
      <c r="P144" s="78"/>
      <c r="Q144" s="84"/>
    </row>
  </sheetData>
  <mergeCells count="47">
    <mergeCell ref="A1:Q1"/>
    <mergeCell ref="A2:Q2"/>
    <mergeCell ref="A3:Q3"/>
    <mergeCell ref="A37:Q37"/>
    <mergeCell ref="I4:J4"/>
    <mergeCell ref="L4:M4"/>
    <mergeCell ref="C34:E34"/>
    <mergeCell ref="C35:E35"/>
    <mergeCell ref="C31:E31"/>
    <mergeCell ref="B4:C4"/>
    <mergeCell ref="D4:E4"/>
    <mergeCell ref="L38:M38"/>
    <mergeCell ref="I38:J38"/>
    <mergeCell ref="D38:E38"/>
    <mergeCell ref="B38:C38"/>
    <mergeCell ref="I31:K31"/>
    <mergeCell ref="I34:K34"/>
    <mergeCell ref="I35:K35"/>
    <mergeCell ref="C104:E104"/>
    <mergeCell ref="C59:E59"/>
    <mergeCell ref="C63:E63"/>
    <mergeCell ref="L76:M76"/>
    <mergeCell ref="C103:E103"/>
    <mergeCell ref="A75:Q75"/>
    <mergeCell ref="C64:E64"/>
    <mergeCell ref="C100:E100"/>
    <mergeCell ref="D76:E76"/>
    <mergeCell ref="B76:C76"/>
    <mergeCell ref="B114:C114"/>
    <mergeCell ref="D114:E114"/>
    <mergeCell ref="I114:J114"/>
    <mergeCell ref="L114:M114"/>
    <mergeCell ref="I59:K59"/>
    <mergeCell ref="I62:K62"/>
    <mergeCell ref="I63:K63"/>
    <mergeCell ref="I100:K100"/>
    <mergeCell ref="I76:J76"/>
    <mergeCell ref="I144:K144"/>
    <mergeCell ref="C62:E62"/>
    <mergeCell ref="I103:K103"/>
    <mergeCell ref="I104:K104"/>
    <mergeCell ref="I141:K141"/>
    <mergeCell ref="I143:K143"/>
    <mergeCell ref="C144:E144"/>
    <mergeCell ref="C141:E141"/>
    <mergeCell ref="C143:E143"/>
    <mergeCell ref="A113:Q113"/>
  </mergeCells>
  <printOptions/>
  <pageMargins left="0.5511811023622047" right="0.15748031496062992" top="0.1968503937007874" bottom="0" header="0.5118110236220472" footer="0.5118110236220472"/>
  <pageSetup horizontalDpi="180" verticalDpi="18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0"/>
  <sheetViews>
    <sheetView tabSelected="1" view="pageBreakPreview" zoomScaleSheetLayoutView="100" workbookViewId="0" topLeftCell="A1">
      <selection activeCell="D15" sqref="D15"/>
    </sheetView>
  </sheetViews>
  <sheetFormatPr defaultColWidth="9.140625" defaultRowHeight="21.75"/>
  <cols>
    <col min="1" max="1" width="21.421875" style="164" customWidth="1"/>
    <col min="2" max="3" width="11.140625" style="164" bestFit="1" customWidth="1"/>
    <col min="4" max="5" width="9.8515625" style="164" bestFit="1" customWidth="1"/>
    <col min="6" max="6" width="11.140625" style="164" bestFit="1" customWidth="1"/>
    <col min="7" max="7" width="9.8515625" style="164" bestFit="1" customWidth="1"/>
    <col min="8" max="9" width="11.140625" style="164" bestFit="1" customWidth="1"/>
    <col min="10" max="10" width="13.57421875" style="164" bestFit="1" customWidth="1"/>
    <col min="11" max="12" width="9.8515625" style="164" bestFit="1" customWidth="1"/>
    <col min="13" max="13" width="10.00390625" style="164" bestFit="1" customWidth="1"/>
    <col min="14" max="15" width="9.8515625" style="164" bestFit="1" customWidth="1"/>
    <col min="16" max="16" width="11.140625" style="164" bestFit="1" customWidth="1"/>
    <col min="17" max="17" width="12.00390625" style="164" bestFit="1" customWidth="1"/>
    <col min="18" max="16384" width="9.140625" style="164" customWidth="1"/>
  </cols>
  <sheetData>
    <row r="1" spans="1:17" ht="23.25">
      <c r="A1" s="386" t="s">
        <v>13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7" ht="23.25">
      <c r="A2" s="386" t="s">
        <v>102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</row>
    <row r="3" spans="1:17" ht="24" thickBot="1">
      <c r="A3" s="387" t="s">
        <v>243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</row>
    <row r="4" spans="1:17" s="170" customFormat="1" ht="21" customHeight="1">
      <c r="A4" s="165" t="s">
        <v>15</v>
      </c>
      <c r="B4" s="383" t="s">
        <v>81</v>
      </c>
      <c r="C4" s="384"/>
      <c r="D4" s="383" t="s">
        <v>84</v>
      </c>
      <c r="E4" s="384"/>
      <c r="F4" s="166" t="s">
        <v>90</v>
      </c>
      <c r="G4" s="166" t="s">
        <v>91</v>
      </c>
      <c r="H4" s="167" t="s">
        <v>94</v>
      </c>
      <c r="I4" s="383" t="s">
        <v>85</v>
      </c>
      <c r="J4" s="384"/>
      <c r="K4" s="168" t="s">
        <v>95</v>
      </c>
      <c r="L4" s="383" t="s">
        <v>86</v>
      </c>
      <c r="M4" s="385"/>
      <c r="N4" s="168" t="s">
        <v>98</v>
      </c>
      <c r="O4" s="168" t="s">
        <v>110</v>
      </c>
      <c r="P4" s="166" t="s">
        <v>79</v>
      </c>
      <c r="Q4" s="169" t="s">
        <v>16</v>
      </c>
    </row>
    <row r="5" spans="1:17" s="170" customFormat="1" ht="21" customHeight="1" thickBot="1">
      <c r="A5" s="171" t="s">
        <v>17</v>
      </c>
      <c r="B5" s="173" t="s">
        <v>82</v>
      </c>
      <c r="C5" s="174" t="s">
        <v>83</v>
      </c>
      <c r="D5" s="172" t="s">
        <v>75</v>
      </c>
      <c r="E5" s="172" t="s">
        <v>76</v>
      </c>
      <c r="F5" s="173" t="s">
        <v>89</v>
      </c>
      <c r="G5" s="173" t="s">
        <v>92</v>
      </c>
      <c r="H5" s="176" t="s">
        <v>93</v>
      </c>
      <c r="I5" s="172" t="s">
        <v>77</v>
      </c>
      <c r="J5" s="172" t="s">
        <v>78</v>
      </c>
      <c r="K5" s="177" t="s">
        <v>96</v>
      </c>
      <c r="L5" s="174" t="s">
        <v>87</v>
      </c>
      <c r="M5" s="175" t="s">
        <v>88</v>
      </c>
      <c r="N5" s="177" t="s">
        <v>97</v>
      </c>
      <c r="O5" s="177" t="s">
        <v>111</v>
      </c>
      <c r="P5" s="172" t="s">
        <v>80</v>
      </c>
      <c r="Q5" s="178"/>
    </row>
    <row r="6" spans="1:17" s="184" customFormat="1" ht="21" customHeight="1">
      <c r="A6" s="179" t="s">
        <v>250</v>
      </c>
      <c r="B6" s="180"/>
      <c r="C6" s="181"/>
      <c r="D6" s="180"/>
      <c r="E6" s="180"/>
      <c r="F6" s="181"/>
      <c r="G6" s="181"/>
      <c r="H6" s="182"/>
      <c r="I6" s="180"/>
      <c r="J6" s="180"/>
      <c r="K6" s="183"/>
      <c r="L6" s="180"/>
      <c r="M6" s="182"/>
      <c r="N6" s="183"/>
      <c r="O6" s="183"/>
      <c r="P6" s="180"/>
      <c r="Q6" s="183"/>
    </row>
    <row r="7" spans="1:17" s="184" customFormat="1" ht="21" customHeight="1">
      <c r="A7" s="185" t="s">
        <v>155</v>
      </c>
      <c r="B7" s="187">
        <v>0</v>
      </c>
      <c r="C7" s="188">
        <v>0</v>
      </c>
      <c r="D7" s="187">
        <v>0</v>
      </c>
      <c r="E7" s="187">
        <v>0</v>
      </c>
      <c r="F7" s="187">
        <v>0</v>
      </c>
      <c r="G7" s="187">
        <v>0</v>
      </c>
      <c r="H7" s="187">
        <v>0</v>
      </c>
      <c r="I7" s="187">
        <v>0</v>
      </c>
      <c r="J7" s="187">
        <v>0</v>
      </c>
      <c r="K7" s="187">
        <v>0</v>
      </c>
      <c r="L7" s="187">
        <v>0</v>
      </c>
      <c r="M7" s="187">
        <v>0</v>
      </c>
      <c r="N7" s="187">
        <v>0</v>
      </c>
      <c r="O7" s="187">
        <v>0</v>
      </c>
      <c r="P7" s="186">
        <f>165660</f>
        <v>165660</v>
      </c>
      <c r="Q7" s="187">
        <f>SUM(B7:P7)</f>
        <v>165660</v>
      </c>
    </row>
    <row r="8" spans="1:17" s="184" customFormat="1" ht="21" customHeight="1">
      <c r="A8" s="185" t="s">
        <v>244</v>
      </c>
      <c r="B8" s="187">
        <v>0</v>
      </c>
      <c r="C8" s="188">
        <v>0</v>
      </c>
      <c r="D8" s="187">
        <v>0</v>
      </c>
      <c r="E8" s="187">
        <v>0</v>
      </c>
      <c r="F8" s="187">
        <v>0</v>
      </c>
      <c r="G8" s="187">
        <v>0</v>
      </c>
      <c r="H8" s="187">
        <v>0</v>
      </c>
      <c r="I8" s="187">
        <v>0</v>
      </c>
      <c r="J8" s="187">
        <v>0</v>
      </c>
      <c r="K8" s="187">
        <v>0</v>
      </c>
      <c r="L8" s="187">
        <v>0</v>
      </c>
      <c r="M8" s="187">
        <v>0</v>
      </c>
      <c r="N8" s="187">
        <v>0</v>
      </c>
      <c r="O8" s="187">
        <v>0</v>
      </c>
      <c r="P8" s="186">
        <v>744000</v>
      </c>
      <c r="Q8" s="187">
        <f aca="true" t="shared" si="0" ref="Q8:Q13">SUM(B8:P8)</f>
        <v>744000</v>
      </c>
    </row>
    <row r="9" spans="1:17" s="184" customFormat="1" ht="21" customHeight="1">
      <c r="A9" s="185" t="s">
        <v>245</v>
      </c>
      <c r="B9" s="187">
        <v>0</v>
      </c>
      <c r="C9" s="188">
        <v>0</v>
      </c>
      <c r="D9" s="187">
        <v>0</v>
      </c>
      <c r="E9" s="187">
        <v>0</v>
      </c>
      <c r="F9" s="187">
        <v>0</v>
      </c>
      <c r="G9" s="187">
        <v>0</v>
      </c>
      <c r="H9" s="187">
        <v>0</v>
      </c>
      <c r="I9" s="187">
        <v>0</v>
      </c>
      <c r="J9" s="187">
        <v>0</v>
      </c>
      <c r="K9" s="187">
        <v>0</v>
      </c>
      <c r="L9" s="187">
        <v>0</v>
      </c>
      <c r="M9" s="187">
        <v>0</v>
      </c>
      <c r="N9" s="187">
        <v>0</v>
      </c>
      <c r="O9" s="187">
        <v>0</v>
      </c>
      <c r="P9" s="186">
        <v>162000</v>
      </c>
      <c r="Q9" s="187">
        <f t="shared" si="0"/>
        <v>162000</v>
      </c>
    </row>
    <row r="10" spans="1:17" s="184" customFormat="1" ht="21" customHeight="1">
      <c r="A10" s="185" t="s">
        <v>246</v>
      </c>
      <c r="B10" s="187">
        <v>0</v>
      </c>
      <c r="C10" s="188">
        <v>0</v>
      </c>
      <c r="D10" s="187">
        <v>0</v>
      </c>
      <c r="E10" s="187">
        <v>0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187">
        <v>0</v>
      </c>
      <c r="O10" s="187">
        <v>0</v>
      </c>
      <c r="P10" s="186">
        <v>676217</v>
      </c>
      <c r="Q10" s="187">
        <f t="shared" si="0"/>
        <v>676217</v>
      </c>
    </row>
    <row r="11" spans="1:17" s="184" customFormat="1" ht="21" customHeight="1">
      <c r="A11" s="185" t="s">
        <v>247</v>
      </c>
      <c r="B11" s="187">
        <v>0</v>
      </c>
      <c r="C11" s="188">
        <v>0</v>
      </c>
      <c r="D11" s="187">
        <v>0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 s="187">
        <v>0</v>
      </c>
      <c r="P11" s="186">
        <f>85000+60000</f>
        <v>145000</v>
      </c>
      <c r="Q11" s="187">
        <f t="shared" si="0"/>
        <v>145000</v>
      </c>
    </row>
    <row r="12" spans="1:17" s="184" customFormat="1" ht="21" customHeight="1">
      <c r="A12" s="185" t="s">
        <v>248</v>
      </c>
      <c r="B12" s="187">
        <v>0</v>
      </c>
      <c r="C12" s="188">
        <v>0</v>
      </c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187">
        <v>0</v>
      </c>
      <c r="O12" s="187">
        <v>0</v>
      </c>
      <c r="P12" s="186">
        <v>666000</v>
      </c>
      <c r="Q12" s="187">
        <f t="shared" si="0"/>
        <v>666000</v>
      </c>
    </row>
    <row r="13" spans="1:17" s="184" customFormat="1" ht="21" customHeight="1">
      <c r="A13" s="185" t="s">
        <v>249</v>
      </c>
      <c r="B13" s="187">
        <v>0</v>
      </c>
      <c r="C13" s="188">
        <v>0</v>
      </c>
      <c r="D13" s="187">
        <v>0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87">
        <v>0</v>
      </c>
      <c r="P13" s="186">
        <v>88081</v>
      </c>
      <c r="Q13" s="187">
        <f t="shared" si="0"/>
        <v>88081</v>
      </c>
    </row>
    <row r="14" spans="1:17" s="191" customFormat="1" ht="21" customHeight="1">
      <c r="A14" s="189" t="s">
        <v>18</v>
      </c>
      <c r="B14" s="190">
        <f aca="true" t="shared" si="1" ref="B14:P14">SUM(B7:B13)</f>
        <v>0</v>
      </c>
      <c r="C14" s="190">
        <f t="shared" si="1"/>
        <v>0</v>
      </c>
      <c r="D14" s="190">
        <f t="shared" si="1"/>
        <v>0</v>
      </c>
      <c r="E14" s="190">
        <f t="shared" si="1"/>
        <v>0</v>
      </c>
      <c r="F14" s="190">
        <f t="shared" si="1"/>
        <v>0</v>
      </c>
      <c r="G14" s="190">
        <f t="shared" si="1"/>
        <v>0</v>
      </c>
      <c r="H14" s="190">
        <f t="shared" si="1"/>
        <v>0</v>
      </c>
      <c r="I14" s="190">
        <f t="shared" si="1"/>
        <v>0</v>
      </c>
      <c r="J14" s="190">
        <f t="shared" si="1"/>
        <v>0</v>
      </c>
      <c r="K14" s="190">
        <f t="shared" si="1"/>
        <v>0</v>
      </c>
      <c r="L14" s="190">
        <f t="shared" si="1"/>
        <v>0</v>
      </c>
      <c r="M14" s="190">
        <f t="shared" si="1"/>
        <v>0</v>
      </c>
      <c r="N14" s="190">
        <f t="shared" si="1"/>
        <v>0</v>
      </c>
      <c r="O14" s="190">
        <f t="shared" si="1"/>
        <v>0</v>
      </c>
      <c r="P14" s="190">
        <f t="shared" si="1"/>
        <v>2646958</v>
      </c>
      <c r="Q14" s="187">
        <f>SUM(B14:P14)</f>
        <v>2646958</v>
      </c>
    </row>
    <row r="15" spans="1:17" s="184" customFormat="1" ht="21" customHeight="1">
      <c r="A15" s="192">
        <v>521000</v>
      </c>
      <c r="B15" s="193"/>
      <c r="C15" s="194"/>
      <c r="D15" s="193"/>
      <c r="E15" s="193"/>
      <c r="F15" s="194"/>
      <c r="G15" s="194"/>
      <c r="H15" s="193"/>
      <c r="I15" s="193"/>
      <c r="J15" s="193"/>
      <c r="K15" s="187"/>
      <c r="L15" s="193"/>
      <c r="M15" s="193"/>
      <c r="N15" s="187"/>
      <c r="O15" s="187"/>
      <c r="P15" s="190"/>
      <c r="Q15" s="187"/>
    </row>
    <row r="16" spans="1:17" s="184" customFormat="1" ht="21" customHeight="1">
      <c r="A16" s="195">
        <v>210100</v>
      </c>
      <c r="B16" s="186">
        <f>206400-17200</f>
        <v>189200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7">
        <f aca="true" t="shared" si="2" ref="Q16:Q21">SUM(B16:P16)</f>
        <v>189200</v>
      </c>
    </row>
    <row r="17" spans="1:17" s="184" customFormat="1" ht="21" customHeight="1">
      <c r="A17" s="195">
        <v>210200</v>
      </c>
      <c r="B17" s="186">
        <f>38400-3200</f>
        <v>35200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7">
        <f t="shared" si="2"/>
        <v>35200</v>
      </c>
    </row>
    <row r="18" spans="1:17" s="184" customFormat="1" ht="21" customHeight="1">
      <c r="A18" s="195">
        <v>210300</v>
      </c>
      <c r="B18" s="186">
        <f>38400-3200</f>
        <v>35200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7">
        <f t="shared" si="2"/>
        <v>35200</v>
      </c>
    </row>
    <row r="19" spans="1:17" s="184" customFormat="1" ht="21" customHeight="1">
      <c r="A19" s="195">
        <v>210400</v>
      </c>
      <c r="B19" s="186">
        <f>68400-4440</f>
        <v>63960</v>
      </c>
      <c r="C19" s="186">
        <v>0</v>
      </c>
      <c r="D19" s="186">
        <v>0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7">
        <f t="shared" si="2"/>
        <v>63960</v>
      </c>
    </row>
    <row r="20" spans="1:17" s="184" customFormat="1" ht="21" customHeight="1">
      <c r="A20" s="195">
        <v>210600</v>
      </c>
      <c r="B20" s="186">
        <f>1063800-88650</f>
        <v>975150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7">
        <f t="shared" si="2"/>
        <v>975150</v>
      </c>
    </row>
    <row r="21" spans="1:17" s="184" customFormat="1" ht="21" customHeight="1">
      <c r="A21" s="189" t="s">
        <v>18</v>
      </c>
      <c r="B21" s="190">
        <f aca="true" t="shared" si="3" ref="B21:P21">SUM(B16:B20)</f>
        <v>1298710</v>
      </c>
      <c r="C21" s="190">
        <f t="shared" si="3"/>
        <v>0</v>
      </c>
      <c r="D21" s="190">
        <f t="shared" si="3"/>
        <v>0</v>
      </c>
      <c r="E21" s="190">
        <f t="shared" si="3"/>
        <v>0</v>
      </c>
      <c r="F21" s="190">
        <f t="shared" si="3"/>
        <v>0</v>
      </c>
      <c r="G21" s="190">
        <f t="shared" si="3"/>
        <v>0</v>
      </c>
      <c r="H21" s="190">
        <f t="shared" si="3"/>
        <v>0</v>
      </c>
      <c r="I21" s="190">
        <f t="shared" si="3"/>
        <v>0</v>
      </c>
      <c r="J21" s="190">
        <f t="shared" si="3"/>
        <v>0</v>
      </c>
      <c r="K21" s="190">
        <f t="shared" si="3"/>
        <v>0</v>
      </c>
      <c r="L21" s="190">
        <f t="shared" si="3"/>
        <v>0</v>
      </c>
      <c r="M21" s="190">
        <f t="shared" si="3"/>
        <v>0</v>
      </c>
      <c r="N21" s="190">
        <f t="shared" si="3"/>
        <v>0</v>
      </c>
      <c r="O21" s="190">
        <f t="shared" si="3"/>
        <v>0</v>
      </c>
      <c r="P21" s="190">
        <f t="shared" si="3"/>
        <v>0</v>
      </c>
      <c r="Q21" s="187">
        <f t="shared" si="2"/>
        <v>1298710</v>
      </c>
    </row>
    <row r="22" spans="1:17" s="184" customFormat="1" ht="21" customHeight="1">
      <c r="A22" s="192">
        <v>522000</v>
      </c>
      <c r="B22" s="193"/>
      <c r="C22" s="194"/>
      <c r="D22" s="193"/>
      <c r="E22" s="193"/>
      <c r="F22" s="194"/>
      <c r="G22" s="194"/>
      <c r="H22" s="193"/>
      <c r="I22" s="193"/>
      <c r="J22" s="193"/>
      <c r="K22" s="187"/>
      <c r="L22" s="193"/>
      <c r="M22" s="193"/>
      <c r="N22" s="187"/>
      <c r="O22" s="187"/>
      <c r="P22" s="190"/>
      <c r="Q22" s="187"/>
    </row>
    <row r="23" spans="1:17" s="184" customFormat="1" ht="21" customHeight="1">
      <c r="A23" s="195">
        <v>220100</v>
      </c>
      <c r="B23" s="186">
        <f>1208160-85810</f>
        <v>1122350</v>
      </c>
      <c r="C23" s="186">
        <f>508680-34180</f>
        <v>474500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f>389400-32350</f>
        <v>357050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7">
        <f>SUM(B23:P23)</f>
        <v>1953900</v>
      </c>
    </row>
    <row r="24" spans="1:17" s="184" customFormat="1" ht="21" customHeight="1">
      <c r="A24" s="195">
        <v>220200</v>
      </c>
      <c r="B24" s="186">
        <f>90420-7570</f>
        <v>82850</v>
      </c>
      <c r="C24" s="186">
        <f>54000-3000</f>
        <v>51000</v>
      </c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6">
        <f>36000-3000</f>
        <v>33000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7">
        <f>SUM(B24:P24)</f>
        <v>166850</v>
      </c>
    </row>
    <row r="25" spans="1:17" s="184" customFormat="1" ht="21" customHeight="1">
      <c r="A25" s="195">
        <v>220300</v>
      </c>
      <c r="B25" s="186">
        <f>42000-3500</f>
        <v>38500</v>
      </c>
      <c r="C25" s="186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7">
        <f>SUM(B25:P25)</f>
        <v>38500</v>
      </c>
    </row>
    <row r="26" spans="1:17" s="184" customFormat="1" ht="21" customHeight="1">
      <c r="A26" s="195">
        <v>220600</v>
      </c>
      <c r="B26" s="186">
        <f>393720-26230-1080</f>
        <v>366410</v>
      </c>
      <c r="C26" s="186">
        <f>233280-19740+3600</f>
        <v>217140</v>
      </c>
      <c r="D26" s="186">
        <v>0</v>
      </c>
      <c r="E26" s="186">
        <v>0</v>
      </c>
      <c r="F26" s="186">
        <f>196800-16420+240+5280</f>
        <v>185900</v>
      </c>
      <c r="G26" s="186">
        <v>0</v>
      </c>
      <c r="H26" s="186">
        <v>0</v>
      </c>
      <c r="I26" s="186">
        <f>335280-8200</f>
        <v>327080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7">
        <f>SUM(B26:P26)</f>
        <v>1096530</v>
      </c>
    </row>
    <row r="27" spans="1:17" s="184" customFormat="1" ht="21" customHeight="1">
      <c r="A27" s="189" t="s">
        <v>18</v>
      </c>
      <c r="B27" s="190">
        <f>SUM(B23:B26)</f>
        <v>1610110</v>
      </c>
      <c r="C27" s="190">
        <f aca="true" t="shared" si="4" ref="C27:P27">SUM(C23:C26)</f>
        <v>742640</v>
      </c>
      <c r="D27" s="190">
        <f t="shared" si="4"/>
        <v>0</v>
      </c>
      <c r="E27" s="190">
        <f t="shared" si="4"/>
        <v>0</v>
      </c>
      <c r="F27" s="190">
        <f t="shared" si="4"/>
        <v>185900</v>
      </c>
      <c r="G27" s="190">
        <f t="shared" si="4"/>
        <v>0</v>
      </c>
      <c r="H27" s="190">
        <f t="shared" si="4"/>
        <v>0</v>
      </c>
      <c r="I27" s="190">
        <f t="shared" si="4"/>
        <v>717130</v>
      </c>
      <c r="J27" s="190">
        <f t="shared" si="4"/>
        <v>0</v>
      </c>
      <c r="K27" s="190">
        <f t="shared" si="4"/>
        <v>0</v>
      </c>
      <c r="L27" s="190">
        <f t="shared" si="4"/>
        <v>0</v>
      </c>
      <c r="M27" s="190">
        <f t="shared" si="4"/>
        <v>0</v>
      </c>
      <c r="N27" s="190">
        <f t="shared" si="4"/>
        <v>0</v>
      </c>
      <c r="O27" s="190">
        <f t="shared" si="4"/>
        <v>0</v>
      </c>
      <c r="P27" s="190">
        <f t="shared" si="4"/>
        <v>0</v>
      </c>
      <c r="Q27" s="187">
        <f>SUM(B27:P27)</f>
        <v>3255780</v>
      </c>
    </row>
    <row r="28" spans="1:17" s="184" customFormat="1" ht="21">
      <c r="A28" s="200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2"/>
    </row>
    <row r="29" spans="1:17" s="184" customFormat="1" ht="21" customHeight="1">
      <c r="A29" s="203"/>
      <c r="B29" s="201"/>
      <c r="C29" s="381" t="s">
        <v>6</v>
      </c>
      <c r="D29" s="381"/>
      <c r="E29" s="381"/>
      <c r="F29" s="204"/>
      <c r="G29" s="204"/>
      <c r="H29" s="201"/>
      <c r="I29" s="201"/>
      <c r="J29" s="373" t="s">
        <v>100</v>
      </c>
      <c r="K29" s="373"/>
      <c r="L29" s="373"/>
      <c r="M29" s="201"/>
      <c r="N29" s="201"/>
      <c r="O29" s="201"/>
      <c r="P29" s="201"/>
      <c r="Q29" s="202"/>
    </row>
    <row r="30" spans="1:17" s="184" customFormat="1" ht="21" customHeight="1">
      <c r="A30" s="203"/>
      <c r="B30" s="201"/>
      <c r="C30" s="204"/>
      <c r="D30" s="204"/>
      <c r="E30" s="204"/>
      <c r="F30" s="204"/>
      <c r="G30" s="204"/>
      <c r="H30" s="201"/>
      <c r="I30" s="201"/>
      <c r="J30" s="86"/>
      <c r="K30" s="86"/>
      <c r="L30" s="86"/>
      <c r="M30" s="201"/>
      <c r="N30" s="201"/>
      <c r="O30" s="201"/>
      <c r="P30" s="201"/>
      <c r="Q30" s="202"/>
    </row>
    <row r="31" spans="1:17" s="184" customFormat="1" ht="21" customHeight="1">
      <c r="A31" s="203"/>
      <c r="B31" s="201"/>
      <c r="C31" s="381" t="s">
        <v>114</v>
      </c>
      <c r="D31" s="381"/>
      <c r="E31" s="381"/>
      <c r="F31" s="204"/>
      <c r="G31" s="204"/>
      <c r="H31" s="201"/>
      <c r="I31" s="201"/>
      <c r="J31" s="373" t="s">
        <v>256</v>
      </c>
      <c r="K31" s="373"/>
      <c r="L31" s="373"/>
      <c r="M31" s="201"/>
      <c r="N31" s="201"/>
      <c r="O31" s="201"/>
      <c r="P31" s="201"/>
      <c r="Q31" s="202"/>
    </row>
    <row r="32" spans="1:17" s="184" customFormat="1" ht="21" customHeight="1">
      <c r="A32" s="203"/>
      <c r="B32" s="201"/>
      <c r="C32" s="381" t="s">
        <v>106</v>
      </c>
      <c r="D32" s="381"/>
      <c r="E32" s="381"/>
      <c r="F32" s="204"/>
      <c r="G32" s="204"/>
      <c r="H32" s="201"/>
      <c r="I32" s="201"/>
      <c r="J32" s="373" t="s">
        <v>99</v>
      </c>
      <c r="K32" s="373"/>
      <c r="L32" s="373"/>
      <c r="M32" s="201"/>
      <c r="N32" s="201"/>
      <c r="O32" s="201"/>
      <c r="P32" s="201"/>
      <c r="Q32" s="202"/>
    </row>
    <row r="33" spans="1:17" s="184" customFormat="1" ht="18.75">
      <c r="A33" s="203"/>
      <c r="B33" s="201"/>
      <c r="C33" s="204"/>
      <c r="D33" s="204"/>
      <c r="E33" s="204"/>
      <c r="F33" s="204"/>
      <c r="G33" s="204"/>
      <c r="H33" s="201"/>
      <c r="I33" s="201"/>
      <c r="M33" s="201"/>
      <c r="N33" s="201"/>
      <c r="O33" s="201"/>
      <c r="P33" s="201"/>
      <c r="Q33" s="202"/>
    </row>
    <row r="34" spans="1:17" s="184" customFormat="1" ht="21" customHeight="1">
      <c r="A34" s="203"/>
      <c r="B34" s="201"/>
      <c r="C34" s="204"/>
      <c r="D34" s="204"/>
      <c r="E34" s="204"/>
      <c r="F34" s="204"/>
      <c r="G34" s="204"/>
      <c r="H34" s="201"/>
      <c r="I34" s="201"/>
      <c r="J34" s="201"/>
      <c r="K34" s="201"/>
      <c r="L34" s="201"/>
      <c r="M34" s="201"/>
      <c r="N34" s="201"/>
      <c r="O34" s="201"/>
      <c r="P34" s="201"/>
      <c r="Q34" s="202"/>
    </row>
    <row r="35" spans="1:17" s="184" customFormat="1" ht="19.5" thickBot="1">
      <c r="A35" s="388" t="s">
        <v>20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</row>
    <row r="36" spans="1:17" s="170" customFormat="1" ht="21" customHeight="1">
      <c r="A36" s="165" t="s">
        <v>15</v>
      </c>
      <c r="B36" s="383" t="s">
        <v>81</v>
      </c>
      <c r="C36" s="384"/>
      <c r="D36" s="383" t="s">
        <v>84</v>
      </c>
      <c r="E36" s="384"/>
      <c r="F36" s="166" t="s">
        <v>90</v>
      </c>
      <c r="G36" s="166" t="s">
        <v>91</v>
      </c>
      <c r="H36" s="167" t="s">
        <v>94</v>
      </c>
      <c r="I36" s="383" t="s">
        <v>85</v>
      </c>
      <c r="J36" s="384"/>
      <c r="K36" s="168" t="s">
        <v>95</v>
      </c>
      <c r="L36" s="383" t="s">
        <v>86</v>
      </c>
      <c r="M36" s="385"/>
      <c r="N36" s="168" t="s">
        <v>98</v>
      </c>
      <c r="O36" s="168" t="s">
        <v>110</v>
      </c>
      <c r="P36" s="166" t="s">
        <v>79</v>
      </c>
      <c r="Q36" s="169" t="s">
        <v>16</v>
      </c>
    </row>
    <row r="37" spans="1:17" s="170" customFormat="1" ht="21" customHeight="1" thickBot="1">
      <c r="A37" s="171" t="s">
        <v>17</v>
      </c>
      <c r="B37" s="173" t="s">
        <v>82</v>
      </c>
      <c r="C37" s="174" t="s">
        <v>83</v>
      </c>
      <c r="D37" s="172" t="s">
        <v>75</v>
      </c>
      <c r="E37" s="172" t="s">
        <v>76</v>
      </c>
      <c r="F37" s="173" t="s">
        <v>89</v>
      </c>
      <c r="G37" s="173" t="s">
        <v>92</v>
      </c>
      <c r="H37" s="176" t="s">
        <v>93</v>
      </c>
      <c r="I37" s="172" t="s">
        <v>77</v>
      </c>
      <c r="J37" s="172" t="s">
        <v>78</v>
      </c>
      <c r="K37" s="177" t="s">
        <v>96</v>
      </c>
      <c r="L37" s="174" t="s">
        <v>87</v>
      </c>
      <c r="M37" s="175" t="s">
        <v>88</v>
      </c>
      <c r="N37" s="177" t="s">
        <v>97</v>
      </c>
      <c r="O37" s="177" t="s">
        <v>111</v>
      </c>
      <c r="P37" s="172" t="s">
        <v>80</v>
      </c>
      <c r="Q37" s="178"/>
    </row>
    <row r="38" spans="1:17" s="184" customFormat="1" ht="21" customHeight="1">
      <c r="A38" s="197">
        <v>531000</v>
      </c>
      <c r="B38" s="198"/>
      <c r="C38" s="199"/>
      <c r="D38" s="180"/>
      <c r="E38" s="180"/>
      <c r="F38" s="181"/>
      <c r="G38" s="181"/>
      <c r="H38" s="180"/>
      <c r="I38" s="180"/>
      <c r="J38" s="198"/>
      <c r="K38" s="187"/>
      <c r="L38" s="180"/>
      <c r="M38" s="180"/>
      <c r="N38" s="187"/>
      <c r="O38" s="187"/>
      <c r="P38" s="198"/>
      <c r="Q38" s="187"/>
    </row>
    <row r="39" spans="1:17" s="184" customFormat="1" ht="21" customHeight="1">
      <c r="A39" s="195">
        <v>310100</v>
      </c>
      <c r="B39" s="186">
        <v>10000</v>
      </c>
      <c r="C39" s="186">
        <v>0</v>
      </c>
      <c r="D39" s="186">
        <v>0</v>
      </c>
      <c r="E39" s="186">
        <v>0</v>
      </c>
      <c r="F39" s="186">
        <v>0</v>
      </c>
      <c r="G39" s="186">
        <v>0</v>
      </c>
      <c r="H39" s="186">
        <v>0</v>
      </c>
      <c r="I39" s="186">
        <v>30000</v>
      </c>
      <c r="J39" s="186">
        <v>0</v>
      </c>
      <c r="K39" s="186">
        <v>0</v>
      </c>
      <c r="L39" s="186">
        <v>0</v>
      </c>
      <c r="M39" s="186">
        <v>0</v>
      </c>
      <c r="N39" s="186">
        <v>0</v>
      </c>
      <c r="O39" s="186">
        <v>0</v>
      </c>
      <c r="P39" s="186">
        <v>0</v>
      </c>
      <c r="Q39" s="187">
        <f>SUM(B39:P39)</f>
        <v>40000</v>
      </c>
    </row>
    <row r="40" spans="1:17" s="184" customFormat="1" ht="21" customHeight="1">
      <c r="A40" s="195">
        <v>310200</v>
      </c>
      <c r="B40" s="186">
        <v>38400</v>
      </c>
      <c r="C40" s="186">
        <v>0</v>
      </c>
      <c r="D40" s="186">
        <v>0</v>
      </c>
      <c r="E40" s="186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86">
        <v>0</v>
      </c>
      <c r="M40" s="186">
        <v>0</v>
      </c>
      <c r="N40" s="186">
        <v>0</v>
      </c>
      <c r="O40" s="186">
        <v>0</v>
      </c>
      <c r="P40" s="186">
        <v>0</v>
      </c>
      <c r="Q40" s="187">
        <f aca="true" t="shared" si="5" ref="Q40:Q46">SUM(B40:P40)</f>
        <v>38400</v>
      </c>
    </row>
    <row r="41" spans="1:17" s="184" customFormat="1" ht="21" customHeight="1">
      <c r="A41" s="195">
        <v>310300</v>
      </c>
      <c r="B41" s="186">
        <f>100800-16800</f>
        <v>84000</v>
      </c>
      <c r="C41" s="186">
        <f>42000-3600</f>
        <v>38400</v>
      </c>
      <c r="D41" s="186">
        <v>0</v>
      </c>
      <c r="E41" s="186">
        <v>0</v>
      </c>
      <c r="F41" s="186">
        <v>0</v>
      </c>
      <c r="G41" s="186">
        <v>0</v>
      </c>
      <c r="H41" s="186">
        <v>0</v>
      </c>
      <c r="I41" s="186">
        <v>50400</v>
      </c>
      <c r="J41" s="186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0</v>
      </c>
      <c r="P41" s="186">
        <v>0</v>
      </c>
      <c r="Q41" s="187">
        <f t="shared" si="5"/>
        <v>172800</v>
      </c>
    </row>
    <row r="42" spans="1:17" s="184" customFormat="1" ht="21" customHeight="1">
      <c r="A42" s="195">
        <v>310400</v>
      </c>
      <c r="B42" s="186">
        <v>60000</v>
      </c>
      <c r="C42" s="186">
        <v>37200</v>
      </c>
      <c r="D42" s="186">
        <v>0</v>
      </c>
      <c r="E42" s="186">
        <v>0</v>
      </c>
      <c r="F42" s="186">
        <v>0</v>
      </c>
      <c r="G42" s="186">
        <v>0</v>
      </c>
      <c r="H42" s="186">
        <v>0</v>
      </c>
      <c r="I42" s="186">
        <v>0</v>
      </c>
      <c r="J42" s="186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6">
        <v>0</v>
      </c>
      <c r="Q42" s="187">
        <f t="shared" si="5"/>
        <v>97200</v>
      </c>
    </row>
    <row r="43" spans="1:17" s="184" customFormat="1" ht="21" customHeight="1">
      <c r="A43" s="195">
        <v>310500</v>
      </c>
      <c r="B43" s="186">
        <v>15000</v>
      </c>
      <c r="C43" s="186">
        <v>0</v>
      </c>
      <c r="D43" s="186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10000</v>
      </c>
      <c r="J43" s="186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7">
        <f t="shared" si="5"/>
        <v>25000</v>
      </c>
    </row>
    <row r="44" spans="1:17" s="184" customFormat="1" ht="21" customHeight="1">
      <c r="A44" s="195">
        <v>310600</v>
      </c>
      <c r="B44" s="186">
        <f>25000-2175</f>
        <v>22825</v>
      </c>
      <c r="C44" s="186">
        <v>30000</v>
      </c>
      <c r="D44" s="186">
        <v>0</v>
      </c>
      <c r="E44" s="186">
        <v>0</v>
      </c>
      <c r="F44" s="186">
        <v>0</v>
      </c>
      <c r="G44" s="186">
        <v>0</v>
      </c>
      <c r="H44" s="186">
        <v>0</v>
      </c>
      <c r="I44" s="186">
        <v>200000</v>
      </c>
      <c r="J44" s="186">
        <v>0</v>
      </c>
      <c r="K44" s="186">
        <v>0</v>
      </c>
      <c r="L44" s="186">
        <v>0</v>
      </c>
      <c r="M44" s="186">
        <v>0</v>
      </c>
      <c r="N44" s="186">
        <v>0</v>
      </c>
      <c r="O44" s="186">
        <v>0</v>
      </c>
      <c r="P44" s="186">
        <v>0</v>
      </c>
      <c r="Q44" s="187">
        <f t="shared" si="5"/>
        <v>252825</v>
      </c>
    </row>
    <row r="45" spans="1:17" s="184" customFormat="1" ht="21" customHeight="1">
      <c r="A45" s="195">
        <v>310800</v>
      </c>
      <c r="B45" s="186">
        <v>281730</v>
      </c>
      <c r="C45" s="186">
        <v>152430</v>
      </c>
      <c r="D45" s="186">
        <v>0</v>
      </c>
      <c r="E45" s="186">
        <v>0</v>
      </c>
      <c r="F45" s="186">
        <v>0</v>
      </c>
      <c r="G45" s="186">
        <v>0</v>
      </c>
      <c r="H45" s="186">
        <v>0</v>
      </c>
      <c r="I45" s="186">
        <v>97860</v>
      </c>
      <c r="J45" s="186">
        <v>0</v>
      </c>
      <c r="K45" s="186">
        <v>0</v>
      </c>
      <c r="L45" s="186">
        <v>0</v>
      </c>
      <c r="M45" s="186">
        <v>0</v>
      </c>
      <c r="N45" s="186">
        <v>0</v>
      </c>
      <c r="O45" s="186">
        <v>0</v>
      </c>
      <c r="P45" s="186">
        <v>0</v>
      </c>
      <c r="Q45" s="187">
        <f t="shared" si="5"/>
        <v>532020</v>
      </c>
    </row>
    <row r="46" spans="1:17" s="184" customFormat="1" ht="21" customHeight="1">
      <c r="A46" s="189" t="s">
        <v>18</v>
      </c>
      <c r="B46" s="190">
        <f aca="true" t="shared" si="6" ref="B46:P46">SUM(B39:B45)</f>
        <v>511955</v>
      </c>
      <c r="C46" s="190">
        <f t="shared" si="6"/>
        <v>258030</v>
      </c>
      <c r="D46" s="190">
        <f t="shared" si="6"/>
        <v>0</v>
      </c>
      <c r="E46" s="190">
        <f t="shared" si="6"/>
        <v>0</v>
      </c>
      <c r="F46" s="190">
        <f t="shared" si="6"/>
        <v>0</v>
      </c>
      <c r="G46" s="190">
        <f t="shared" si="6"/>
        <v>0</v>
      </c>
      <c r="H46" s="190">
        <f t="shared" si="6"/>
        <v>0</v>
      </c>
      <c r="I46" s="190">
        <f t="shared" si="6"/>
        <v>388260</v>
      </c>
      <c r="J46" s="190">
        <f t="shared" si="6"/>
        <v>0</v>
      </c>
      <c r="K46" s="190">
        <f t="shared" si="6"/>
        <v>0</v>
      </c>
      <c r="L46" s="190">
        <f t="shared" si="6"/>
        <v>0</v>
      </c>
      <c r="M46" s="190">
        <f t="shared" si="6"/>
        <v>0</v>
      </c>
      <c r="N46" s="190">
        <f t="shared" si="6"/>
        <v>0</v>
      </c>
      <c r="O46" s="190">
        <f t="shared" si="6"/>
        <v>0</v>
      </c>
      <c r="P46" s="190">
        <f t="shared" si="6"/>
        <v>0</v>
      </c>
      <c r="Q46" s="187">
        <f t="shared" si="5"/>
        <v>1158245</v>
      </c>
    </row>
    <row r="47" spans="1:17" s="184" customFormat="1" ht="21" customHeight="1">
      <c r="A47" s="192">
        <v>532000</v>
      </c>
      <c r="B47" s="190"/>
      <c r="C47" s="196"/>
      <c r="D47" s="193"/>
      <c r="E47" s="193"/>
      <c r="F47" s="194"/>
      <c r="G47" s="194"/>
      <c r="H47" s="190"/>
      <c r="I47" s="193"/>
      <c r="J47" s="190"/>
      <c r="K47" s="187"/>
      <c r="L47" s="193"/>
      <c r="M47" s="193"/>
      <c r="N47" s="187"/>
      <c r="O47" s="187"/>
      <c r="P47" s="190"/>
      <c r="Q47" s="187"/>
    </row>
    <row r="48" spans="1:17" s="184" customFormat="1" ht="21" customHeight="1">
      <c r="A48" s="195">
        <v>320100</v>
      </c>
      <c r="B48" s="186">
        <f>150000+30000+36500+50000+5000+150000+15840+54000+60000-9860+8400</f>
        <v>549880</v>
      </c>
      <c r="C48" s="186">
        <v>30000</v>
      </c>
      <c r="D48" s="186">
        <v>0</v>
      </c>
      <c r="E48" s="186">
        <v>0</v>
      </c>
      <c r="F48" s="186">
        <v>420</v>
      </c>
      <c r="G48" s="186">
        <f>25000+60000+8400</f>
        <v>93400</v>
      </c>
      <c r="H48" s="186">
        <v>0</v>
      </c>
      <c r="I48" s="186">
        <f>30000+60000</f>
        <v>90000</v>
      </c>
      <c r="J48" s="186">
        <v>0</v>
      </c>
      <c r="K48" s="186">
        <f>17500+42000+19500</f>
        <v>79000</v>
      </c>
      <c r="L48" s="186">
        <v>0</v>
      </c>
      <c r="M48" s="186">
        <v>0</v>
      </c>
      <c r="N48" s="186">
        <v>0</v>
      </c>
      <c r="O48" s="186">
        <v>0</v>
      </c>
      <c r="P48" s="186">
        <v>0</v>
      </c>
      <c r="Q48" s="187">
        <f aca="true" t="shared" si="7" ref="Q48:Q53">SUM(B48:P48)</f>
        <v>842700</v>
      </c>
    </row>
    <row r="49" spans="1:17" s="184" customFormat="1" ht="21" customHeight="1">
      <c r="A49" s="195">
        <v>320200</v>
      </c>
      <c r="B49" s="186">
        <v>20000</v>
      </c>
      <c r="C49" s="186">
        <v>0</v>
      </c>
      <c r="D49" s="186">
        <v>0</v>
      </c>
      <c r="E49" s="186">
        <v>0</v>
      </c>
      <c r="F49" s="186">
        <v>0</v>
      </c>
      <c r="G49" s="186">
        <v>0</v>
      </c>
      <c r="H49" s="186">
        <v>0</v>
      </c>
      <c r="I49" s="186">
        <v>0</v>
      </c>
      <c r="J49" s="186">
        <v>0</v>
      </c>
      <c r="K49" s="186">
        <v>0</v>
      </c>
      <c r="L49" s="186">
        <v>0</v>
      </c>
      <c r="M49" s="186">
        <v>0</v>
      </c>
      <c r="N49" s="186">
        <v>0</v>
      </c>
      <c r="O49" s="186">
        <v>0</v>
      </c>
      <c r="P49" s="186">
        <v>0</v>
      </c>
      <c r="Q49" s="187">
        <f t="shared" si="7"/>
        <v>20000</v>
      </c>
    </row>
    <row r="50" spans="1:17" s="184" customFormat="1" ht="21" customHeight="1">
      <c r="A50" s="195">
        <v>320300</v>
      </c>
      <c r="B50" s="186">
        <f>120000+6000+20000+9600+1250-1000</f>
        <v>155850</v>
      </c>
      <c r="C50" s="186">
        <f>50000+10000+250000</f>
        <v>310000</v>
      </c>
      <c r="D50" s="186">
        <v>0</v>
      </c>
      <c r="E50" s="186">
        <v>0</v>
      </c>
      <c r="F50" s="186">
        <v>0</v>
      </c>
      <c r="G50" s="186">
        <v>15000</v>
      </c>
      <c r="H50" s="186">
        <v>5000</v>
      </c>
      <c r="I50" s="186">
        <v>40000</v>
      </c>
      <c r="J50" s="186">
        <v>0</v>
      </c>
      <c r="K50" s="186">
        <f>15000+15000+50000+15000+40000</f>
        <v>135000</v>
      </c>
      <c r="L50" s="186">
        <v>110000</v>
      </c>
      <c r="M50" s="186">
        <v>50000</v>
      </c>
      <c r="N50" s="186">
        <v>55000</v>
      </c>
      <c r="O50" s="186">
        <v>0</v>
      </c>
      <c r="P50" s="186">
        <v>0</v>
      </c>
      <c r="Q50" s="187">
        <f t="shared" si="7"/>
        <v>875850</v>
      </c>
    </row>
    <row r="51" spans="1:17" s="184" customFormat="1" ht="21" customHeight="1">
      <c r="A51" s="195">
        <v>320400</v>
      </c>
      <c r="B51" s="186">
        <v>50000</v>
      </c>
      <c r="C51" s="186">
        <f>15000-2700</f>
        <v>12300</v>
      </c>
      <c r="D51" s="186">
        <v>0</v>
      </c>
      <c r="E51" s="186">
        <v>0</v>
      </c>
      <c r="F51" s="186">
        <v>0</v>
      </c>
      <c r="G51" s="186">
        <v>0</v>
      </c>
      <c r="H51" s="186">
        <v>0</v>
      </c>
      <c r="I51" s="186">
        <v>10000</v>
      </c>
      <c r="J51" s="186">
        <v>20000</v>
      </c>
      <c r="K51" s="186">
        <v>0</v>
      </c>
      <c r="L51" s="186">
        <v>0</v>
      </c>
      <c r="M51" s="186">
        <v>0</v>
      </c>
      <c r="N51" s="186">
        <v>0</v>
      </c>
      <c r="O51" s="186">
        <v>0</v>
      </c>
      <c r="P51" s="186">
        <v>0</v>
      </c>
      <c r="Q51" s="187">
        <f t="shared" si="7"/>
        <v>92300</v>
      </c>
    </row>
    <row r="52" spans="1:17" s="184" customFormat="1" ht="21" customHeight="1">
      <c r="A52" s="195">
        <v>320500</v>
      </c>
      <c r="B52" s="186">
        <v>5000</v>
      </c>
      <c r="C52" s="186">
        <v>0</v>
      </c>
      <c r="D52" s="186">
        <v>0</v>
      </c>
      <c r="E52" s="186">
        <v>0</v>
      </c>
      <c r="F52" s="186">
        <v>0</v>
      </c>
      <c r="G52" s="186">
        <v>0</v>
      </c>
      <c r="H52" s="186">
        <v>0</v>
      </c>
      <c r="I52" s="186">
        <v>0</v>
      </c>
      <c r="J52" s="186">
        <v>0</v>
      </c>
      <c r="K52" s="186">
        <v>0</v>
      </c>
      <c r="L52" s="186">
        <v>0</v>
      </c>
      <c r="M52" s="186">
        <v>0</v>
      </c>
      <c r="N52" s="186">
        <v>0</v>
      </c>
      <c r="O52" s="186">
        <v>0</v>
      </c>
      <c r="P52" s="186">
        <v>0</v>
      </c>
      <c r="Q52" s="187">
        <f t="shared" si="7"/>
        <v>5000</v>
      </c>
    </row>
    <row r="53" spans="1:17" s="184" customFormat="1" ht="21" customHeight="1">
      <c r="A53" s="189" t="s">
        <v>18</v>
      </c>
      <c r="B53" s="190">
        <f aca="true" t="shared" si="8" ref="B53:P53">SUM(B48:B52)</f>
        <v>780730</v>
      </c>
      <c r="C53" s="190">
        <f t="shared" si="8"/>
        <v>352300</v>
      </c>
      <c r="D53" s="190">
        <f t="shared" si="8"/>
        <v>0</v>
      </c>
      <c r="E53" s="190">
        <f t="shared" si="8"/>
        <v>0</v>
      </c>
      <c r="F53" s="190">
        <f t="shared" si="8"/>
        <v>420</v>
      </c>
      <c r="G53" s="190">
        <f t="shared" si="8"/>
        <v>108400</v>
      </c>
      <c r="H53" s="190">
        <f t="shared" si="8"/>
        <v>5000</v>
      </c>
      <c r="I53" s="190">
        <f t="shared" si="8"/>
        <v>140000</v>
      </c>
      <c r="J53" s="190">
        <f t="shared" si="8"/>
        <v>20000</v>
      </c>
      <c r="K53" s="190">
        <f t="shared" si="8"/>
        <v>214000</v>
      </c>
      <c r="L53" s="190">
        <f t="shared" si="8"/>
        <v>110000</v>
      </c>
      <c r="M53" s="190">
        <f t="shared" si="8"/>
        <v>50000</v>
      </c>
      <c r="N53" s="190">
        <f t="shared" si="8"/>
        <v>55000</v>
      </c>
      <c r="O53" s="190">
        <f t="shared" si="8"/>
        <v>0</v>
      </c>
      <c r="P53" s="190">
        <f t="shared" si="8"/>
        <v>0</v>
      </c>
      <c r="Q53" s="187">
        <f t="shared" si="7"/>
        <v>1835850</v>
      </c>
    </row>
    <row r="54" spans="1:17" s="184" customFormat="1" ht="21" customHeight="1">
      <c r="A54" s="200"/>
      <c r="B54" s="201"/>
      <c r="C54" s="381" t="s">
        <v>6</v>
      </c>
      <c r="D54" s="381"/>
      <c r="E54" s="381"/>
      <c r="F54" s="204"/>
      <c r="G54" s="204"/>
      <c r="H54" s="201"/>
      <c r="I54" s="201"/>
      <c r="J54" s="373" t="s">
        <v>100</v>
      </c>
      <c r="K54" s="373"/>
      <c r="L54" s="373"/>
      <c r="M54" s="201"/>
      <c r="N54" s="201"/>
      <c r="O54" s="201"/>
      <c r="P54" s="201"/>
      <c r="Q54" s="202"/>
    </row>
    <row r="55" spans="1:17" s="184" customFormat="1" ht="21" customHeight="1">
      <c r="A55" s="200"/>
      <c r="B55" s="201"/>
      <c r="C55" s="204"/>
      <c r="D55" s="204"/>
      <c r="E55" s="204"/>
      <c r="F55" s="204"/>
      <c r="G55" s="204"/>
      <c r="H55" s="201"/>
      <c r="I55" s="201"/>
      <c r="J55" s="86"/>
      <c r="K55" s="86"/>
      <c r="L55" s="86"/>
      <c r="M55" s="201"/>
      <c r="N55" s="201"/>
      <c r="O55" s="201"/>
      <c r="P55" s="201"/>
      <c r="Q55" s="202"/>
    </row>
    <row r="56" spans="1:17" s="184" customFormat="1" ht="21" customHeight="1">
      <c r="A56" s="203"/>
      <c r="B56" s="201"/>
      <c r="C56" s="204"/>
      <c r="D56" s="204"/>
      <c r="E56" s="204"/>
      <c r="F56" s="204"/>
      <c r="G56" s="204"/>
      <c r="H56" s="201"/>
      <c r="I56" s="201"/>
      <c r="J56" s="86"/>
      <c r="K56" s="69"/>
      <c r="L56" s="69"/>
      <c r="M56" s="201"/>
      <c r="N56" s="201"/>
      <c r="O56" s="201"/>
      <c r="P56" s="201"/>
      <c r="Q56" s="202"/>
    </row>
    <row r="57" spans="1:17" s="184" customFormat="1" ht="21" customHeight="1">
      <c r="A57" s="203"/>
      <c r="B57" s="201"/>
      <c r="C57" s="381" t="s">
        <v>114</v>
      </c>
      <c r="D57" s="381"/>
      <c r="E57" s="381"/>
      <c r="F57" s="204"/>
      <c r="G57" s="204"/>
      <c r="H57" s="201"/>
      <c r="I57" s="201"/>
      <c r="J57" s="373" t="s">
        <v>256</v>
      </c>
      <c r="K57" s="373"/>
      <c r="L57" s="373"/>
      <c r="M57" s="201"/>
      <c r="N57" s="201"/>
      <c r="O57" s="201"/>
      <c r="P57" s="201"/>
      <c r="Q57" s="202"/>
    </row>
    <row r="58" spans="1:17" s="184" customFormat="1" ht="21" customHeight="1">
      <c r="A58" s="203"/>
      <c r="B58" s="201"/>
      <c r="C58" s="381" t="s">
        <v>106</v>
      </c>
      <c r="D58" s="381"/>
      <c r="E58" s="381"/>
      <c r="F58" s="204"/>
      <c r="G58" s="204"/>
      <c r="H58" s="201"/>
      <c r="I58" s="201"/>
      <c r="J58" s="373" t="s">
        <v>99</v>
      </c>
      <c r="K58" s="373"/>
      <c r="L58" s="373"/>
      <c r="M58" s="201"/>
      <c r="N58" s="201"/>
      <c r="O58" s="201"/>
      <c r="P58" s="201"/>
      <c r="Q58" s="202"/>
    </row>
    <row r="59" spans="1:17" s="184" customFormat="1" ht="21" customHeight="1">
      <c r="A59" s="203"/>
      <c r="B59" s="201"/>
      <c r="C59" s="204"/>
      <c r="D59" s="204"/>
      <c r="E59" s="204"/>
      <c r="F59" s="204"/>
      <c r="G59" s="204"/>
      <c r="H59" s="201"/>
      <c r="I59" s="201"/>
      <c r="J59" s="201"/>
      <c r="K59" s="201"/>
      <c r="L59" s="201"/>
      <c r="M59" s="201"/>
      <c r="N59" s="201"/>
      <c r="O59" s="201"/>
      <c r="P59" s="201"/>
      <c r="Q59" s="202"/>
    </row>
    <row r="60" spans="1:17" s="184" customFormat="1" ht="21" customHeight="1">
      <c r="A60" s="203"/>
      <c r="B60" s="201"/>
      <c r="C60" s="204"/>
      <c r="D60" s="204"/>
      <c r="E60" s="204"/>
      <c r="F60" s="204"/>
      <c r="G60" s="204"/>
      <c r="H60" s="201"/>
      <c r="I60" s="201"/>
      <c r="J60" s="201"/>
      <c r="K60" s="201"/>
      <c r="L60" s="201"/>
      <c r="M60" s="201"/>
      <c r="N60" s="201"/>
      <c r="O60" s="201"/>
      <c r="P60" s="201"/>
      <c r="Q60" s="202"/>
    </row>
    <row r="61" spans="1:17" s="184" customFormat="1" ht="21" customHeight="1">
      <c r="A61" s="203"/>
      <c r="B61" s="201"/>
      <c r="C61" s="204"/>
      <c r="D61" s="204"/>
      <c r="E61" s="204"/>
      <c r="F61" s="204"/>
      <c r="G61" s="204"/>
      <c r="H61" s="201"/>
      <c r="I61" s="201"/>
      <c r="J61" s="201"/>
      <c r="K61" s="201"/>
      <c r="L61" s="201"/>
      <c r="M61" s="201"/>
      <c r="N61" s="201"/>
      <c r="O61" s="201"/>
      <c r="P61" s="201"/>
      <c r="Q61" s="202"/>
    </row>
    <row r="62" spans="1:17" s="184" customFormat="1" ht="21" customHeight="1">
      <c r="A62" s="203"/>
      <c r="B62" s="201"/>
      <c r="C62" s="204"/>
      <c r="D62" s="204"/>
      <c r="E62" s="204"/>
      <c r="F62" s="204"/>
      <c r="G62" s="204"/>
      <c r="H62" s="201"/>
      <c r="I62" s="201"/>
      <c r="J62" s="201"/>
      <c r="K62" s="201"/>
      <c r="L62" s="201"/>
      <c r="M62" s="201"/>
      <c r="N62" s="201"/>
      <c r="O62" s="201"/>
      <c r="P62" s="201"/>
      <c r="Q62" s="202"/>
    </row>
    <row r="63" spans="1:17" s="184" customFormat="1" ht="21" customHeight="1">
      <c r="A63" s="203"/>
      <c r="B63" s="201"/>
      <c r="C63" s="204"/>
      <c r="D63" s="204"/>
      <c r="E63" s="204"/>
      <c r="F63" s="204"/>
      <c r="G63" s="204"/>
      <c r="H63" s="201"/>
      <c r="I63" s="201"/>
      <c r="J63" s="201"/>
      <c r="K63" s="201"/>
      <c r="L63" s="201"/>
      <c r="M63" s="201"/>
      <c r="N63" s="201"/>
      <c r="O63" s="201"/>
      <c r="P63" s="201"/>
      <c r="Q63" s="202"/>
    </row>
    <row r="64" spans="1:17" s="184" customFormat="1" ht="21" customHeight="1">
      <c r="A64" s="203"/>
      <c r="B64" s="201"/>
      <c r="C64" s="204"/>
      <c r="D64" s="204"/>
      <c r="E64" s="204"/>
      <c r="F64" s="204"/>
      <c r="G64" s="204"/>
      <c r="H64" s="201"/>
      <c r="I64" s="201"/>
      <c r="J64" s="201"/>
      <c r="K64" s="201"/>
      <c r="L64" s="201"/>
      <c r="M64" s="201"/>
      <c r="N64" s="201"/>
      <c r="O64" s="201"/>
      <c r="P64" s="201"/>
      <c r="Q64" s="202"/>
    </row>
    <row r="65" spans="1:17" s="184" customFormat="1" ht="21" customHeight="1">
      <c r="A65" s="203"/>
      <c r="B65" s="201"/>
      <c r="C65" s="204"/>
      <c r="D65" s="204"/>
      <c r="E65" s="204"/>
      <c r="F65" s="204"/>
      <c r="G65" s="204"/>
      <c r="H65" s="201"/>
      <c r="I65" s="201"/>
      <c r="J65" s="201"/>
      <c r="K65" s="201"/>
      <c r="L65" s="201"/>
      <c r="M65" s="201"/>
      <c r="N65" s="201"/>
      <c r="O65" s="201"/>
      <c r="P65" s="201"/>
      <c r="Q65" s="202"/>
    </row>
    <row r="66" spans="1:17" s="184" customFormat="1" ht="21" customHeight="1">
      <c r="A66" s="203"/>
      <c r="B66" s="201"/>
      <c r="C66" s="204"/>
      <c r="D66" s="204"/>
      <c r="E66" s="204"/>
      <c r="F66" s="204"/>
      <c r="G66" s="204"/>
      <c r="H66" s="201"/>
      <c r="I66" s="201"/>
      <c r="J66" s="201"/>
      <c r="K66" s="201"/>
      <c r="L66" s="201"/>
      <c r="M66" s="201"/>
      <c r="N66" s="201"/>
      <c r="O66" s="201"/>
      <c r="P66" s="201"/>
      <c r="Q66" s="202"/>
    </row>
    <row r="67" spans="1:17" s="184" customFormat="1" ht="21" customHeight="1">
      <c r="A67" s="203"/>
      <c r="B67" s="201"/>
      <c r="C67" s="204"/>
      <c r="D67" s="204"/>
      <c r="E67" s="204"/>
      <c r="F67" s="204"/>
      <c r="G67" s="204"/>
      <c r="H67" s="201"/>
      <c r="I67" s="201"/>
      <c r="J67" s="201"/>
      <c r="K67" s="201"/>
      <c r="L67" s="201"/>
      <c r="M67" s="201"/>
      <c r="N67" s="201"/>
      <c r="O67" s="201"/>
      <c r="P67" s="201"/>
      <c r="Q67" s="202"/>
    </row>
    <row r="68" spans="1:17" s="184" customFormat="1" ht="21" customHeight="1">
      <c r="A68" s="203"/>
      <c r="B68" s="201"/>
      <c r="C68" s="204"/>
      <c r="D68" s="204"/>
      <c r="E68" s="204"/>
      <c r="F68" s="204"/>
      <c r="G68" s="204"/>
      <c r="H68" s="201"/>
      <c r="I68" s="201"/>
      <c r="J68" s="201"/>
      <c r="K68" s="201"/>
      <c r="L68" s="201"/>
      <c r="M68" s="201"/>
      <c r="N68" s="201"/>
      <c r="O68" s="201"/>
      <c r="P68" s="201"/>
      <c r="Q68" s="202"/>
    </row>
    <row r="69" spans="1:17" s="184" customFormat="1" ht="21" customHeight="1" thickBot="1">
      <c r="A69" s="382" t="s">
        <v>71</v>
      </c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</row>
    <row r="70" spans="1:17" s="170" customFormat="1" ht="21" customHeight="1">
      <c r="A70" s="165" t="s">
        <v>15</v>
      </c>
      <c r="B70" s="383" t="s">
        <v>81</v>
      </c>
      <c r="C70" s="384"/>
      <c r="D70" s="383" t="s">
        <v>84</v>
      </c>
      <c r="E70" s="384"/>
      <c r="F70" s="166" t="s">
        <v>90</v>
      </c>
      <c r="G70" s="166" t="s">
        <v>91</v>
      </c>
      <c r="H70" s="167" t="s">
        <v>94</v>
      </c>
      <c r="I70" s="383" t="s">
        <v>85</v>
      </c>
      <c r="J70" s="384"/>
      <c r="K70" s="168" t="s">
        <v>95</v>
      </c>
      <c r="L70" s="383" t="s">
        <v>86</v>
      </c>
      <c r="M70" s="385"/>
      <c r="N70" s="168" t="s">
        <v>98</v>
      </c>
      <c r="O70" s="168" t="s">
        <v>110</v>
      </c>
      <c r="P70" s="166" t="s">
        <v>79</v>
      </c>
      <c r="Q70" s="169" t="s">
        <v>16</v>
      </c>
    </row>
    <row r="71" spans="1:17" s="170" customFormat="1" ht="21" customHeight="1" thickBot="1">
      <c r="A71" s="171" t="s">
        <v>17</v>
      </c>
      <c r="B71" s="173" t="s">
        <v>82</v>
      </c>
      <c r="C71" s="174" t="s">
        <v>83</v>
      </c>
      <c r="D71" s="172" t="s">
        <v>75</v>
      </c>
      <c r="E71" s="172" t="s">
        <v>76</v>
      </c>
      <c r="F71" s="173" t="s">
        <v>89</v>
      </c>
      <c r="G71" s="173" t="s">
        <v>92</v>
      </c>
      <c r="H71" s="176" t="s">
        <v>93</v>
      </c>
      <c r="I71" s="172" t="s">
        <v>77</v>
      </c>
      <c r="J71" s="172" t="s">
        <v>78</v>
      </c>
      <c r="K71" s="177" t="s">
        <v>96</v>
      </c>
      <c r="L71" s="174" t="s">
        <v>87</v>
      </c>
      <c r="M71" s="175" t="s">
        <v>88</v>
      </c>
      <c r="N71" s="177" t="s">
        <v>97</v>
      </c>
      <c r="O71" s="177" t="s">
        <v>111</v>
      </c>
      <c r="P71" s="172" t="s">
        <v>80</v>
      </c>
      <c r="Q71" s="178"/>
    </row>
    <row r="72" spans="1:17" s="184" customFormat="1" ht="21" customHeight="1">
      <c r="A72" s="192">
        <v>533000</v>
      </c>
      <c r="B72" s="190"/>
      <c r="C72" s="199"/>
      <c r="D72" s="180"/>
      <c r="E72" s="190"/>
      <c r="F72" s="196"/>
      <c r="G72" s="181"/>
      <c r="H72" s="190"/>
      <c r="I72" s="190"/>
      <c r="J72" s="190"/>
      <c r="K72" s="187"/>
      <c r="L72" s="205"/>
      <c r="M72" s="198"/>
      <c r="N72" s="187"/>
      <c r="O72" s="187"/>
      <c r="P72" s="198"/>
      <c r="Q72" s="187"/>
    </row>
    <row r="73" spans="1:17" s="184" customFormat="1" ht="21" customHeight="1">
      <c r="A73" s="206">
        <v>330100</v>
      </c>
      <c r="B73" s="186">
        <v>100000</v>
      </c>
      <c r="C73" s="186">
        <f>30000-5400</f>
        <v>24600</v>
      </c>
      <c r="D73" s="186">
        <v>0</v>
      </c>
      <c r="E73" s="186">
        <v>0</v>
      </c>
      <c r="F73" s="186">
        <v>50000</v>
      </c>
      <c r="G73" s="186">
        <v>0</v>
      </c>
      <c r="H73" s="186">
        <v>0</v>
      </c>
      <c r="I73" s="186">
        <v>15000</v>
      </c>
      <c r="J73" s="186">
        <v>0</v>
      </c>
      <c r="K73" s="186">
        <v>20000</v>
      </c>
      <c r="L73" s="186">
        <v>0</v>
      </c>
      <c r="M73" s="186">
        <v>0</v>
      </c>
      <c r="N73" s="186">
        <v>0</v>
      </c>
      <c r="O73" s="186">
        <v>0</v>
      </c>
      <c r="P73" s="186">
        <v>0</v>
      </c>
      <c r="Q73" s="187">
        <f>SUM(B73:P73)</f>
        <v>209600</v>
      </c>
    </row>
    <row r="74" spans="1:17" s="184" customFormat="1" ht="21" customHeight="1">
      <c r="A74" s="206">
        <v>330200</v>
      </c>
      <c r="B74" s="186">
        <f>20000-1810</f>
        <v>18190</v>
      </c>
      <c r="C74" s="186">
        <v>0</v>
      </c>
      <c r="D74" s="186">
        <v>0</v>
      </c>
      <c r="E74" s="186">
        <v>0</v>
      </c>
      <c r="F74" s="186">
        <v>0</v>
      </c>
      <c r="G74" s="186">
        <v>0</v>
      </c>
      <c r="H74" s="186">
        <v>0</v>
      </c>
      <c r="I74" s="186">
        <v>0</v>
      </c>
      <c r="J74" s="186">
        <v>0</v>
      </c>
      <c r="K74" s="186">
        <v>0</v>
      </c>
      <c r="L74" s="186">
        <v>0</v>
      </c>
      <c r="M74" s="186">
        <v>0</v>
      </c>
      <c r="N74" s="186">
        <v>0</v>
      </c>
      <c r="O74" s="186">
        <v>0</v>
      </c>
      <c r="P74" s="186">
        <v>0</v>
      </c>
      <c r="Q74" s="187">
        <f aca="true" t="shared" si="9" ref="Q74:Q85">SUM(B74:P74)</f>
        <v>18190</v>
      </c>
    </row>
    <row r="75" spans="1:17" s="184" customFormat="1" ht="21" customHeight="1">
      <c r="A75" s="195">
        <v>330300</v>
      </c>
      <c r="B75" s="186">
        <v>6000</v>
      </c>
      <c r="C75" s="186">
        <v>0</v>
      </c>
      <c r="D75" s="186">
        <v>0</v>
      </c>
      <c r="E75" s="186">
        <v>0</v>
      </c>
      <c r="F75" s="186">
        <v>6000</v>
      </c>
      <c r="G75" s="186">
        <v>9000</v>
      </c>
      <c r="H75" s="186">
        <v>0</v>
      </c>
      <c r="I75" s="186">
        <v>0</v>
      </c>
      <c r="J75" s="186">
        <v>0</v>
      </c>
      <c r="K75" s="186">
        <v>0</v>
      </c>
      <c r="L75" s="186">
        <v>0</v>
      </c>
      <c r="M75" s="186">
        <v>0</v>
      </c>
      <c r="N75" s="186">
        <v>0</v>
      </c>
      <c r="O75" s="186">
        <f>60000-25000</f>
        <v>35000</v>
      </c>
      <c r="P75" s="186">
        <v>0</v>
      </c>
      <c r="Q75" s="187">
        <f t="shared" si="9"/>
        <v>56000</v>
      </c>
    </row>
    <row r="76" spans="1:17" s="184" customFormat="1" ht="21" customHeight="1">
      <c r="A76" s="195">
        <v>330600</v>
      </c>
      <c r="B76" s="186">
        <v>10000</v>
      </c>
      <c r="C76" s="186">
        <v>0</v>
      </c>
      <c r="D76" s="186">
        <v>0</v>
      </c>
      <c r="E76" s="186">
        <v>0</v>
      </c>
      <c r="F76" s="186">
        <v>0</v>
      </c>
      <c r="G76" s="186">
        <v>0</v>
      </c>
      <c r="H76" s="186">
        <v>0</v>
      </c>
      <c r="I76" s="186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186">
        <f>20000+30000</f>
        <v>50000</v>
      </c>
      <c r="P76" s="186">
        <v>0</v>
      </c>
      <c r="Q76" s="187">
        <f t="shared" si="9"/>
        <v>60000</v>
      </c>
    </row>
    <row r="77" spans="1:17" s="184" customFormat="1" ht="21" customHeight="1">
      <c r="A77" s="195">
        <v>330700</v>
      </c>
      <c r="B77" s="186">
        <f>30000-3500</f>
        <v>26500</v>
      </c>
      <c r="C77" s="186">
        <v>0</v>
      </c>
      <c r="D77" s="186">
        <v>0</v>
      </c>
      <c r="E77" s="186">
        <v>0</v>
      </c>
      <c r="F77" s="186">
        <v>0</v>
      </c>
      <c r="G77" s="186">
        <v>0</v>
      </c>
      <c r="H77" s="186">
        <v>0</v>
      </c>
      <c r="I77" s="186">
        <v>0</v>
      </c>
      <c r="J77" s="186">
        <v>0</v>
      </c>
      <c r="K77" s="186">
        <v>0</v>
      </c>
      <c r="L77" s="186">
        <v>0</v>
      </c>
      <c r="M77" s="186">
        <v>0</v>
      </c>
      <c r="N77" s="186">
        <v>0</v>
      </c>
      <c r="O77" s="186">
        <v>0</v>
      </c>
      <c r="P77" s="186">
        <v>0</v>
      </c>
      <c r="Q77" s="187">
        <f t="shared" si="9"/>
        <v>26500</v>
      </c>
    </row>
    <row r="78" spans="1:17" s="184" customFormat="1" ht="21" customHeight="1">
      <c r="A78" s="195">
        <v>330800</v>
      </c>
      <c r="B78" s="186">
        <v>300000</v>
      </c>
      <c r="C78" s="186">
        <v>0</v>
      </c>
      <c r="D78" s="186">
        <v>0</v>
      </c>
      <c r="E78" s="186">
        <v>0</v>
      </c>
      <c r="F78" s="186">
        <v>0</v>
      </c>
      <c r="G78" s="186">
        <v>0</v>
      </c>
      <c r="H78" s="186">
        <v>0</v>
      </c>
      <c r="I78" s="186">
        <v>0</v>
      </c>
      <c r="J78" s="186">
        <v>0</v>
      </c>
      <c r="K78" s="186">
        <v>0</v>
      </c>
      <c r="L78" s="186">
        <v>0</v>
      </c>
      <c r="M78" s="186">
        <v>0</v>
      </c>
      <c r="N78" s="186">
        <v>0</v>
      </c>
      <c r="O78" s="186">
        <v>0</v>
      </c>
      <c r="P78" s="186">
        <v>0</v>
      </c>
      <c r="Q78" s="187">
        <f t="shared" si="9"/>
        <v>300000</v>
      </c>
    </row>
    <row r="79" spans="1:17" s="184" customFormat="1" ht="21" customHeight="1">
      <c r="A79" s="195">
        <v>330900</v>
      </c>
      <c r="B79" s="186">
        <v>0</v>
      </c>
      <c r="C79" s="186">
        <v>0</v>
      </c>
      <c r="D79" s="186">
        <v>0</v>
      </c>
      <c r="E79" s="186">
        <v>0</v>
      </c>
      <c r="F79" s="186">
        <v>0</v>
      </c>
      <c r="G79" s="186">
        <v>30000</v>
      </c>
      <c r="H79" s="186">
        <v>0</v>
      </c>
      <c r="I79" s="186">
        <v>0</v>
      </c>
      <c r="J79" s="186">
        <v>0</v>
      </c>
      <c r="K79" s="186">
        <v>0</v>
      </c>
      <c r="L79" s="186">
        <v>0</v>
      </c>
      <c r="M79" s="186">
        <v>0</v>
      </c>
      <c r="N79" s="186">
        <v>0</v>
      </c>
      <c r="O79" s="186">
        <v>0</v>
      </c>
      <c r="P79" s="186">
        <v>0</v>
      </c>
      <c r="Q79" s="187">
        <f t="shared" si="9"/>
        <v>30000</v>
      </c>
    </row>
    <row r="80" spans="1:17" s="184" customFormat="1" ht="21" customHeight="1">
      <c r="A80" s="195">
        <v>331000</v>
      </c>
      <c r="B80" s="186">
        <v>0</v>
      </c>
      <c r="C80" s="186">
        <v>0</v>
      </c>
      <c r="D80" s="186">
        <v>0</v>
      </c>
      <c r="E80" s="186">
        <v>0</v>
      </c>
      <c r="F80" s="186">
        <v>0</v>
      </c>
      <c r="G80" s="186">
        <v>0</v>
      </c>
      <c r="H80" s="186">
        <v>0</v>
      </c>
      <c r="I80" s="186">
        <v>0</v>
      </c>
      <c r="J80" s="186">
        <v>0</v>
      </c>
      <c r="K80" s="186">
        <v>0</v>
      </c>
      <c r="L80" s="186">
        <v>0</v>
      </c>
      <c r="M80" s="186">
        <v>0</v>
      </c>
      <c r="N80" s="186">
        <f>30000+10000+30000</f>
        <v>70000</v>
      </c>
      <c r="O80" s="186">
        <v>0</v>
      </c>
      <c r="P80" s="186">
        <v>0</v>
      </c>
      <c r="Q80" s="187">
        <f t="shared" si="9"/>
        <v>70000</v>
      </c>
    </row>
    <row r="81" spans="1:17" s="184" customFormat="1" ht="21" customHeight="1">
      <c r="A81" s="195">
        <v>331100</v>
      </c>
      <c r="B81" s="186">
        <f>70000-5500</f>
        <v>64500</v>
      </c>
      <c r="C81" s="186">
        <v>10000</v>
      </c>
      <c r="D81" s="186">
        <v>0</v>
      </c>
      <c r="E81" s="186">
        <v>0</v>
      </c>
      <c r="F81" s="186">
        <v>0</v>
      </c>
      <c r="G81" s="186">
        <v>0</v>
      </c>
      <c r="H81" s="186">
        <v>0</v>
      </c>
      <c r="I81" s="186">
        <v>5000</v>
      </c>
      <c r="J81" s="186">
        <v>0</v>
      </c>
      <c r="K81" s="186">
        <v>15000</v>
      </c>
      <c r="L81" s="186">
        <v>0</v>
      </c>
      <c r="M81" s="186">
        <v>0</v>
      </c>
      <c r="N81" s="186">
        <v>0</v>
      </c>
      <c r="O81" s="186">
        <v>0</v>
      </c>
      <c r="P81" s="186">
        <v>0</v>
      </c>
      <c r="Q81" s="187">
        <f t="shared" si="9"/>
        <v>94500</v>
      </c>
    </row>
    <row r="82" spans="1:17" s="184" customFormat="1" ht="21" customHeight="1">
      <c r="A82" s="195">
        <v>331400</v>
      </c>
      <c r="B82" s="186">
        <v>40000</v>
      </c>
      <c r="C82" s="186">
        <v>15000</v>
      </c>
      <c r="D82" s="186">
        <v>0</v>
      </c>
      <c r="E82" s="186">
        <v>0</v>
      </c>
      <c r="F82" s="186">
        <v>0</v>
      </c>
      <c r="G82" s="186">
        <v>0</v>
      </c>
      <c r="H82" s="186">
        <v>0</v>
      </c>
      <c r="I82" s="186">
        <v>8000</v>
      </c>
      <c r="J82" s="186">
        <v>0</v>
      </c>
      <c r="K82" s="186">
        <v>0</v>
      </c>
      <c r="L82" s="186">
        <v>0</v>
      </c>
      <c r="M82" s="186">
        <v>0</v>
      </c>
      <c r="N82" s="186">
        <v>0</v>
      </c>
      <c r="O82" s="186">
        <v>0</v>
      </c>
      <c r="P82" s="186">
        <v>0</v>
      </c>
      <c r="Q82" s="187">
        <f t="shared" si="9"/>
        <v>63000</v>
      </c>
    </row>
    <row r="83" spans="1:17" s="184" customFormat="1" ht="21" customHeight="1">
      <c r="A83" s="195">
        <v>331700</v>
      </c>
      <c r="B83" s="186">
        <v>0</v>
      </c>
      <c r="C83" s="186">
        <v>0</v>
      </c>
      <c r="D83" s="186">
        <v>0</v>
      </c>
      <c r="E83" s="186">
        <v>0</v>
      </c>
      <c r="F83" s="186">
        <f>408672+294000+117600+25200</f>
        <v>845472</v>
      </c>
      <c r="G83" s="186">
        <v>0</v>
      </c>
      <c r="H83" s="186">
        <v>0</v>
      </c>
      <c r="I83" s="186">
        <v>0</v>
      </c>
      <c r="J83" s="186">
        <v>0</v>
      </c>
      <c r="K83" s="186">
        <v>0</v>
      </c>
      <c r="L83" s="186">
        <f>13200-13200</f>
        <v>0</v>
      </c>
      <c r="M83" s="186">
        <v>0</v>
      </c>
      <c r="N83" s="186">
        <v>0</v>
      </c>
      <c r="O83" s="186">
        <v>0</v>
      </c>
      <c r="P83" s="186">
        <v>0</v>
      </c>
      <c r="Q83" s="187">
        <f t="shared" si="9"/>
        <v>845472</v>
      </c>
    </row>
    <row r="84" spans="1:17" s="184" customFormat="1" ht="21" customHeight="1">
      <c r="A84" s="195">
        <v>331800</v>
      </c>
      <c r="B84" s="186">
        <v>10000</v>
      </c>
      <c r="C84" s="186">
        <v>0</v>
      </c>
      <c r="D84" s="186">
        <v>0</v>
      </c>
      <c r="E84" s="186">
        <v>0</v>
      </c>
      <c r="F84" s="186">
        <v>0</v>
      </c>
      <c r="G84" s="186">
        <v>0</v>
      </c>
      <c r="H84" s="186">
        <v>0</v>
      </c>
      <c r="I84" s="186">
        <v>0</v>
      </c>
      <c r="J84" s="186">
        <v>0</v>
      </c>
      <c r="K84" s="186">
        <v>0</v>
      </c>
      <c r="L84" s="186">
        <f>13200-13200</f>
        <v>0</v>
      </c>
      <c r="M84" s="186">
        <v>0</v>
      </c>
      <c r="N84" s="186">
        <v>0</v>
      </c>
      <c r="O84" s="186">
        <v>0</v>
      </c>
      <c r="P84" s="186">
        <v>0</v>
      </c>
      <c r="Q84" s="187">
        <f t="shared" si="9"/>
        <v>10000</v>
      </c>
    </row>
    <row r="85" spans="1:17" s="184" customFormat="1" ht="21" customHeight="1">
      <c r="A85" s="189" t="s">
        <v>18</v>
      </c>
      <c r="B85" s="190">
        <f aca="true" t="shared" si="10" ref="B85:P85">SUM(B73:B84)</f>
        <v>575190</v>
      </c>
      <c r="C85" s="190">
        <f t="shared" si="10"/>
        <v>49600</v>
      </c>
      <c r="D85" s="190">
        <f t="shared" si="10"/>
        <v>0</v>
      </c>
      <c r="E85" s="190">
        <f t="shared" si="10"/>
        <v>0</v>
      </c>
      <c r="F85" s="190">
        <f t="shared" si="10"/>
        <v>901472</v>
      </c>
      <c r="G85" s="190">
        <f t="shared" si="10"/>
        <v>39000</v>
      </c>
      <c r="H85" s="190">
        <f t="shared" si="10"/>
        <v>0</v>
      </c>
      <c r="I85" s="190">
        <f t="shared" si="10"/>
        <v>28000</v>
      </c>
      <c r="J85" s="190">
        <f t="shared" si="10"/>
        <v>0</v>
      </c>
      <c r="K85" s="190">
        <f t="shared" si="10"/>
        <v>35000</v>
      </c>
      <c r="L85" s="190">
        <f t="shared" si="10"/>
        <v>0</v>
      </c>
      <c r="M85" s="190">
        <f t="shared" si="10"/>
        <v>0</v>
      </c>
      <c r="N85" s="190">
        <f t="shared" si="10"/>
        <v>70000</v>
      </c>
      <c r="O85" s="190">
        <f t="shared" si="10"/>
        <v>85000</v>
      </c>
      <c r="P85" s="190">
        <f t="shared" si="10"/>
        <v>0</v>
      </c>
      <c r="Q85" s="187">
        <f t="shared" si="9"/>
        <v>1783262</v>
      </c>
    </row>
    <row r="86" spans="1:17" s="184" customFormat="1" ht="21" customHeight="1">
      <c r="A86" s="192">
        <v>534000</v>
      </c>
      <c r="B86" s="190"/>
      <c r="C86" s="194"/>
      <c r="D86" s="193"/>
      <c r="E86" s="193"/>
      <c r="F86" s="194"/>
      <c r="G86" s="193"/>
      <c r="H86" s="190"/>
      <c r="I86" s="193"/>
      <c r="J86" s="193"/>
      <c r="K86" s="187"/>
      <c r="L86" s="193"/>
      <c r="M86" s="193"/>
      <c r="N86" s="187"/>
      <c r="O86" s="187"/>
      <c r="P86" s="193"/>
      <c r="Q86" s="187"/>
    </row>
    <row r="87" spans="1:17" s="184" customFormat="1" ht="21" customHeight="1">
      <c r="A87" s="195">
        <v>340100</v>
      </c>
      <c r="B87" s="186">
        <f>115000+5000-9714.8</f>
        <v>110285.2</v>
      </c>
      <c r="C87" s="186">
        <v>0</v>
      </c>
      <c r="D87" s="186">
        <v>0</v>
      </c>
      <c r="E87" s="186">
        <v>0</v>
      </c>
      <c r="F87" s="186">
        <v>0</v>
      </c>
      <c r="G87" s="186">
        <v>0</v>
      </c>
      <c r="H87" s="186">
        <v>0</v>
      </c>
      <c r="I87" s="186">
        <v>0</v>
      </c>
      <c r="J87" s="186">
        <v>0</v>
      </c>
      <c r="K87" s="186">
        <v>0</v>
      </c>
      <c r="L87" s="186">
        <v>0</v>
      </c>
      <c r="M87" s="186">
        <v>0</v>
      </c>
      <c r="N87" s="186">
        <v>0</v>
      </c>
      <c r="O87" s="186">
        <f>150000-7694.78</f>
        <v>142305.22</v>
      </c>
      <c r="P87" s="186">
        <v>0</v>
      </c>
      <c r="Q87" s="187">
        <f>SUM(B87:P87)</f>
        <v>252590.41999999998</v>
      </c>
    </row>
    <row r="88" spans="1:17" s="184" customFormat="1" ht="21" customHeight="1">
      <c r="A88" s="195">
        <v>340300</v>
      </c>
      <c r="B88" s="186">
        <f>16000-1683.44</f>
        <v>14316.56</v>
      </c>
      <c r="C88" s="186">
        <v>0</v>
      </c>
      <c r="D88" s="186">
        <v>0</v>
      </c>
      <c r="E88" s="186">
        <v>0</v>
      </c>
      <c r="F88" s="186">
        <v>0</v>
      </c>
      <c r="G88" s="186">
        <v>0</v>
      </c>
      <c r="H88" s="186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7">
        <f>SUM(B88:P88)</f>
        <v>14316.56</v>
      </c>
    </row>
    <row r="89" spans="1:17" s="184" customFormat="1" ht="21" customHeight="1">
      <c r="A89" s="195">
        <v>340400</v>
      </c>
      <c r="B89" s="186">
        <v>6000</v>
      </c>
      <c r="C89" s="186">
        <v>0</v>
      </c>
      <c r="D89" s="186">
        <v>0</v>
      </c>
      <c r="E89" s="186">
        <v>0</v>
      </c>
      <c r="F89" s="186">
        <v>0</v>
      </c>
      <c r="G89" s="186">
        <v>0</v>
      </c>
      <c r="H89" s="186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7">
        <f>SUM(B89:P89)</f>
        <v>6000</v>
      </c>
    </row>
    <row r="90" spans="1:17" s="184" customFormat="1" ht="21" customHeight="1">
      <c r="A90" s="195">
        <v>340500</v>
      </c>
      <c r="B90" s="186">
        <f>58800-1605</f>
        <v>57195</v>
      </c>
      <c r="C90" s="186">
        <v>0</v>
      </c>
      <c r="D90" s="186">
        <v>0</v>
      </c>
      <c r="E90" s="186">
        <v>0</v>
      </c>
      <c r="F90" s="186">
        <v>0</v>
      </c>
      <c r="G90" s="186">
        <v>0</v>
      </c>
      <c r="H90" s="186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7">
        <f>SUM(B90:P90)</f>
        <v>57195</v>
      </c>
    </row>
    <row r="91" spans="1:17" s="184" customFormat="1" ht="21" customHeight="1">
      <c r="A91" s="189" t="s">
        <v>18</v>
      </c>
      <c r="B91" s="193">
        <f>SUM(B87:B90)</f>
        <v>187796.76</v>
      </c>
      <c r="C91" s="193">
        <f aca="true" t="shared" si="11" ref="C91:P91">SUM(C87:C90)</f>
        <v>0</v>
      </c>
      <c r="D91" s="193">
        <f t="shared" si="11"/>
        <v>0</v>
      </c>
      <c r="E91" s="193">
        <f t="shared" si="11"/>
        <v>0</v>
      </c>
      <c r="F91" s="193">
        <f t="shared" si="11"/>
        <v>0</v>
      </c>
      <c r="G91" s="193">
        <f t="shared" si="11"/>
        <v>0</v>
      </c>
      <c r="H91" s="193">
        <f t="shared" si="11"/>
        <v>0</v>
      </c>
      <c r="I91" s="193">
        <f t="shared" si="11"/>
        <v>0</v>
      </c>
      <c r="J91" s="193">
        <f t="shared" si="11"/>
        <v>0</v>
      </c>
      <c r="K91" s="193">
        <f t="shared" si="11"/>
        <v>0</v>
      </c>
      <c r="L91" s="193">
        <f t="shared" si="11"/>
        <v>0</v>
      </c>
      <c r="M91" s="193">
        <f t="shared" si="11"/>
        <v>0</v>
      </c>
      <c r="N91" s="193">
        <f t="shared" si="11"/>
        <v>0</v>
      </c>
      <c r="O91" s="193">
        <f t="shared" si="11"/>
        <v>142305.22</v>
      </c>
      <c r="P91" s="193">
        <f t="shared" si="11"/>
        <v>0</v>
      </c>
      <c r="Q91" s="187">
        <f>SUM(B91:P91)</f>
        <v>330101.98</v>
      </c>
    </row>
    <row r="92" spans="1:17" s="184" customFormat="1" ht="21" customHeight="1">
      <c r="A92" s="200"/>
      <c r="B92" s="208"/>
      <c r="C92" s="381" t="s">
        <v>6</v>
      </c>
      <c r="D92" s="381"/>
      <c r="E92" s="381"/>
      <c r="F92" s="204"/>
      <c r="G92" s="204"/>
      <c r="H92" s="208"/>
      <c r="I92" s="208"/>
      <c r="J92" s="373" t="s">
        <v>100</v>
      </c>
      <c r="K92" s="373"/>
      <c r="L92" s="373"/>
      <c r="M92" s="208"/>
      <c r="N92" s="208"/>
      <c r="O92" s="208"/>
      <c r="P92" s="208"/>
      <c r="Q92" s="208"/>
    </row>
    <row r="93" spans="1:17" s="184" customFormat="1" ht="21" customHeight="1">
      <c r="A93" s="200"/>
      <c r="B93" s="202"/>
      <c r="C93" s="204"/>
      <c r="D93" s="204"/>
      <c r="E93" s="204"/>
      <c r="F93" s="204"/>
      <c r="G93" s="204"/>
      <c r="H93" s="202"/>
      <c r="I93" s="202"/>
      <c r="J93" s="86"/>
      <c r="K93" s="86"/>
      <c r="L93" s="86"/>
      <c r="M93" s="202"/>
      <c r="N93" s="202"/>
      <c r="O93" s="202"/>
      <c r="P93" s="202"/>
      <c r="Q93" s="202"/>
    </row>
    <row r="94" spans="1:17" s="184" customFormat="1" ht="21">
      <c r="A94" s="200"/>
      <c r="B94" s="202"/>
      <c r="C94" s="204"/>
      <c r="D94" s="204"/>
      <c r="E94" s="204"/>
      <c r="F94" s="204"/>
      <c r="G94" s="204"/>
      <c r="H94" s="202"/>
      <c r="I94" s="202"/>
      <c r="J94" s="86"/>
      <c r="K94" s="69"/>
      <c r="L94" s="69"/>
      <c r="M94" s="202"/>
      <c r="N94" s="202"/>
      <c r="O94" s="202"/>
      <c r="P94" s="202"/>
      <c r="Q94" s="202"/>
    </row>
    <row r="95" spans="1:17" s="184" customFormat="1" ht="21" customHeight="1">
      <c r="A95" s="200"/>
      <c r="B95" s="202"/>
      <c r="C95" s="381" t="s">
        <v>116</v>
      </c>
      <c r="D95" s="381"/>
      <c r="E95" s="381"/>
      <c r="F95" s="204"/>
      <c r="G95" s="204"/>
      <c r="H95" s="202"/>
      <c r="I95" s="202"/>
      <c r="J95" s="373" t="s">
        <v>256</v>
      </c>
      <c r="K95" s="373"/>
      <c r="L95" s="373"/>
      <c r="M95" s="202"/>
      <c r="N95" s="202"/>
      <c r="O95" s="202"/>
      <c r="P95" s="202"/>
      <c r="Q95" s="202"/>
    </row>
    <row r="96" spans="1:17" s="209" customFormat="1" ht="21" customHeight="1">
      <c r="A96" s="203"/>
      <c r="B96" s="202"/>
      <c r="C96" s="381" t="s">
        <v>106</v>
      </c>
      <c r="D96" s="381"/>
      <c r="E96" s="381"/>
      <c r="F96" s="204"/>
      <c r="G96" s="204"/>
      <c r="H96" s="202"/>
      <c r="I96" s="202"/>
      <c r="J96" s="373" t="s">
        <v>99</v>
      </c>
      <c r="K96" s="373"/>
      <c r="L96" s="373"/>
      <c r="M96" s="202"/>
      <c r="N96" s="202"/>
      <c r="O96" s="202"/>
      <c r="P96" s="202"/>
      <c r="Q96" s="202"/>
    </row>
    <row r="97" spans="1:17" s="209" customFormat="1" ht="21" customHeight="1">
      <c r="A97" s="203"/>
      <c r="B97" s="202"/>
      <c r="C97" s="204"/>
      <c r="D97" s="204"/>
      <c r="E97" s="204"/>
      <c r="F97" s="204"/>
      <c r="G97" s="204"/>
      <c r="H97" s="202"/>
      <c r="I97" s="202"/>
      <c r="J97" s="202"/>
      <c r="K97" s="202"/>
      <c r="L97" s="202"/>
      <c r="M97" s="202"/>
      <c r="N97" s="202"/>
      <c r="O97" s="202"/>
      <c r="P97" s="202"/>
      <c r="Q97" s="202"/>
    </row>
    <row r="98" spans="1:17" s="209" customFormat="1" ht="21" customHeight="1">
      <c r="A98" s="203"/>
      <c r="B98" s="202"/>
      <c r="C98" s="204"/>
      <c r="D98" s="204"/>
      <c r="E98" s="204"/>
      <c r="F98" s="204"/>
      <c r="G98" s="204"/>
      <c r="H98" s="202"/>
      <c r="I98" s="202"/>
      <c r="J98" s="202"/>
      <c r="K98" s="202"/>
      <c r="L98" s="202"/>
      <c r="M98" s="202"/>
      <c r="N98" s="202"/>
      <c r="O98" s="202"/>
      <c r="P98" s="202"/>
      <c r="Q98" s="202"/>
    </row>
    <row r="99" spans="1:17" s="209" customFormat="1" ht="21" customHeight="1">
      <c r="A99" s="203"/>
      <c r="B99" s="202"/>
      <c r="C99" s="204"/>
      <c r="D99" s="204"/>
      <c r="E99" s="204"/>
      <c r="F99" s="204"/>
      <c r="G99" s="204"/>
      <c r="H99" s="202"/>
      <c r="I99" s="202"/>
      <c r="J99" s="202"/>
      <c r="K99" s="202"/>
      <c r="L99" s="202"/>
      <c r="M99" s="202"/>
      <c r="N99" s="202"/>
      <c r="O99" s="202"/>
      <c r="P99" s="202"/>
      <c r="Q99" s="202"/>
    </row>
    <row r="100" spans="1:17" s="209" customFormat="1" ht="21" customHeight="1">
      <c r="A100" s="203"/>
      <c r="B100" s="202"/>
      <c r="C100" s="204"/>
      <c r="D100" s="204"/>
      <c r="E100" s="204"/>
      <c r="F100" s="204"/>
      <c r="G100" s="204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</row>
    <row r="101" spans="1:17" s="209" customFormat="1" ht="21" customHeight="1">
      <c r="A101" s="203"/>
      <c r="B101" s="202"/>
      <c r="C101" s="204"/>
      <c r="D101" s="204"/>
      <c r="E101" s="204"/>
      <c r="F101" s="204"/>
      <c r="G101" s="204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</row>
    <row r="102" spans="1:17" s="209" customFormat="1" ht="21" customHeight="1">
      <c r="A102" s="203"/>
      <c r="B102" s="202"/>
      <c r="C102" s="204"/>
      <c r="D102" s="204"/>
      <c r="E102" s="204"/>
      <c r="F102" s="204"/>
      <c r="G102" s="204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</row>
    <row r="103" spans="1:17" s="184" customFormat="1" ht="21" customHeight="1" thickBot="1">
      <c r="A103" s="382" t="s">
        <v>255</v>
      </c>
      <c r="B103" s="382"/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</row>
    <row r="104" spans="1:17" s="170" customFormat="1" ht="21" customHeight="1">
      <c r="A104" s="165" t="s">
        <v>15</v>
      </c>
      <c r="B104" s="383" t="s">
        <v>81</v>
      </c>
      <c r="C104" s="384"/>
      <c r="D104" s="383" t="s">
        <v>84</v>
      </c>
      <c r="E104" s="384"/>
      <c r="F104" s="166" t="s">
        <v>90</v>
      </c>
      <c r="G104" s="166" t="s">
        <v>91</v>
      </c>
      <c r="H104" s="167" t="s">
        <v>94</v>
      </c>
      <c r="I104" s="383" t="s">
        <v>85</v>
      </c>
      <c r="J104" s="384"/>
      <c r="K104" s="168" t="s">
        <v>95</v>
      </c>
      <c r="L104" s="383" t="s">
        <v>86</v>
      </c>
      <c r="M104" s="385"/>
      <c r="N104" s="168" t="s">
        <v>98</v>
      </c>
      <c r="O104" s="168" t="s">
        <v>110</v>
      </c>
      <c r="P104" s="166" t="s">
        <v>79</v>
      </c>
      <c r="Q104" s="169" t="s">
        <v>16</v>
      </c>
    </row>
    <row r="105" spans="1:17" s="170" customFormat="1" ht="21" customHeight="1" thickBot="1">
      <c r="A105" s="171" t="s">
        <v>17</v>
      </c>
      <c r="B105" s="173" t="s">
        <v>82</v>
      </c>
      <c r="C105" s="174" t="s">
        <v>83</v>
      </c>
      <c r="D105" s="172" t="s">
        <v>75</v>
      </c>
      <c r="E105" s="172" t="s">
        <v>76</v>
      </c>
      <c r="F105" s="173" t="s">
        <v>89</v>
      </c>
      <c r="G105" s="173" t="s">
        <v>92</v>
      </c>
      <c r="H105" s="176" t="s">
        <v>93</v>
      </c>
      <c r="I105" s="172" t="s">
        <v>77</v>
      </c>
      <c r="J105" s="172" t="s">
        <v>78</v>
      </c>
      <c r="K105" s="177" t="s">
        <v>96</v>
      </c>
      <c r="L105" s="174" t="s">
        <v>87</v>
      </c>
      <c r="M105" s="175" t="s">
        <v>88</v>
      </c>
      <c r="N105" s="177" t="s">
        <v>97</v>
      </c>
      <c r="O105" s="177" t="s">
        <v>111</v>
      </c>
      <c r="P105" s="172" t="s">
        <v>80</v>
      </c>
      <c r="Q105" s="178"/>
    </row>
    <row r="106" spans="1:17" s="184" customFormat="1" ht="21" customHeight="1">
      <c r="A106" s="192">
        <v>541000</v>
      </c>
      <c r="B106" s="190"/>
      <c r="C106" s="194"/>
      <c r="D106" s="193"/>
      <c r="E106" s="193"/>
      <c r="F106" s="194"/>
      <c r="G106" s="193"/>
      <c r="H106" s="190"/>
      <c r="I106" s="193"/>
      <c r="J106" s="193"/>
      <c r="K106" s="187"/>
      <c r="L106" s="193"/>
      <c r="M106" s="193"/>
      <c r="N106" s="187"/>
      <c r="O106" s="187"/>
      <c r="P106" s="193"/>
      <c r="Q106" s="187"/>
    </row>
    <row r="107" spans="1:17" s="184" customFormat="1" ht="21" customHeight="1">
      <c r="A107" s="206">
        <v>410100</v>
      </c>
      <c r="B107" s="186">
        <f>45000+8960+100000</f>
        <v>153960</v>
      </c>
      <c r="C107" s="188">
        <f>23200+10000+20000</f>
        <v>53200</v>
      </c>
      <c r="D107" s="186">
        <v>0</v>
      </c>
      <c r="E107" s="186">
        <v>0</v>
      </c>
      <c r="F107" s="188">
        <v>14900</v>
      </c>
      <c r="G107" s="186">
        <v>0</v>
      </c>
      <c r="H107" s="186">
        <v>0</v>
      </c>
      <c r="I107" s="187">
        <f>10000+3600+10000</f>
        <v>23600</v>
      </c>
      <c r="J107" s="186">
        <v>0</v>
      </c>
      <c r="K107" s="186">
        <v>0</v>
      </c>
      <c r="L107" s="186">
        <v>0</v>
      </c>
      <c r="M107" s="186">
        <v>0</v>
      </c>
      <c r="N107" s="186">
        <f>20000+3000+5000</f>
        <v>28000</v>
      </c>
      <c r="O107" s="186">
        <v>0</v>
      </c>
      <c r="P107" s="186">
        <v>0</v>
      </c>
      <c r="Q107" s="187">
        <f>SUM(B107:P107)</f>
        <v>273660</v>
      </c>
    </row>
    <row r="108" spans="1:17" s="184" customFormat="1" ht="21" customHeight="1">
      <c r="A108" s="195">
        <v>410300</v>
      </c>
      <c r="B108" s="186">
        <f>28000+80000</f>
        <v>108000</v>
      </c>
      <c r="C108" s="186">
        <v>0</v>
      </c>
      <c r="D108" s="186">
        <v>0</v>
      </c>
      <c r="E108" s="186">
        <v>0</v>
      </c>
      <c r="F108" s="186">
        <v>0</v>
      </c>
      <c r="G108" s="186">
        <v>0</v>
      </c>
      <c r="H108" s="186">
        <v>0</v>
      </c>
      <c r="I108" s="186">
        <v>0</v>
      </c>
      <c r="J108" s="186">
        <v>0</v>
      </c>
      <c r="K108" s="186">
        <v>0</v>
      </c>
      <c r="L108" s="186">
        <v>0</v>
      </c>
      <c r="M108" s="186">
        <v>0</v>
      </c>
      <c r="N108" s="186">
        <v>0</v>
      </c>
      <c r="O108" s="186">
        <v>0</v>
      </c>
      <c r="P108" s="186">
        <v>0</v>
      </c>
      <c r="Q108" s="187">
        <f aca="true" t="shared" si="12" ref="Q108:Q114">SUM(B108:P108)</f>
        <v>108000</v>
      </c>
    </row>
    <row r="109" spans="1:17" s="184" customFormat="1" ht="21" customHeight="1">
      <c r="A109" s="195">
        <v>410600</v>
      </c>
      <c r="B109" s="186">
        <v>0</v>
      </c>
      <c r="C109" s="186">
        <v>0</v>
      </c>
      <c r="D109" s="186">
        <v>0</v>
      </c>
      <c r="E109" s="186">
        <v>0</v>
      </c>
      <c r="F109" s="186">
        <v>0</v>
      </c>
      <c r="G109" s="186">
        <v>0</v>
      </c>
      <c r="H109" s="186">
        <v>0</v>
      </c>
      <c r="I109" s="186">
        <v>20000</v>
      </c>
      <c r="J109" s="186">
        <v>0</v>
      </c>
      <c r="K109" s="186">
        <v>0</v>
      </c>
      <c r="L109" s="186">
        <v>0</v>
      </c>
      <c r="M109" s="186">
        <v>0</v>
      </c>
      <c r="N109" s="186">
        <v>0</v>
      </c>
      <c r="O109" s="186">
        <v>0</v>
      </c>
      <c r="P109" s="186">
        <v>0</v>
      </c>
      <c r="Q109" s="187">
        <f t="shared" si="12"/>
        <v>20000</v>
      </c>
    </row>
    <row r="110" spans="1:17" s="184" customFormat="1" ht="21" customHeight="1">
      <c r="A110" s="195">
        <v>410700</v>
      </c>
      <c r="B110" s="186">
        <v>0</v>
      </c>
      <c r="C110" s="186">
        <v>0</v>
      </c>
      <c r="D110" s="186">
        <v>0</v>
      </c>
      <c r="E110" s="186">
        <v>0</v>
      </c>
      <c r="F110" s="186">
        <v>5590</v>
      </c>
      <c r="G110" s="186">
        <v>0</v>
      </c>
      <c r="H110" s="186">
        <v>0</v>
      </c>
      <c r="I110" s="186">
        <v>50000</v>
      </c>
      <c r="J110" s="186">
        <v>0</v>
      </c>
      <c r="K110" s="186">
        <v>0</v>
      </c>
      <c r="L110" s="186">
        <v>0</v>
      </c>
      <c r="M110" s="186">
        <v>0</v>
      </c>
      <c r="N110" s="186">
        <v>0</v>
      </c>
      <c r="O110" s="186">
        <v>0</v>
      </c>
      <c r="P110" s="186">
        <v>0</v>
      </c>
      <c r="Q110" s="187">
        <f t="shared" si="12"/>
        <v>55590</v>
      </c>
    </row>
    <row r="111" spans="1:17" s="184" customFormat="1" ht="21" customHeight="1">
      <c r="A111" s="195">
        <v>410800</v>
      </c>
      <c r="B111" s="186">
        <v>0</v>
      </c>
      <c r="C111" s="186">
        <v>0</v>
      </c>
      <c r="D111" s="186">
        <v>0</v>
      </c>
      <c r="E111" s="186">
        <v>0</v>
      </c>
      <c r="F111" s="186">
        <v>0</v>
      </c>
      <c r="G111" s="186">
        <f>19500+22000+2500</f>
        <v>44000</v>
      </c>
      <c r="H111" s="186">
        <v>0</v>
      </c>
      <c r="I111" s="186">
        <v>0</v>
      </c>
      <c r="J111" s="186">
        <v>0</v>
      </c>
      <c r="K111" s="186">
        <v>0</v>
      </c>
      <c r="L111" s="186">
        <v>0</v>
      </c>
      <c r="M111" s="186">
        <v>0</v>
      </c>
      <c r="N111" s="186">
        <f>47500-47500</f>
        <v>0</v>
      </c>
      <c r="O111" s="186">
        <v>0</v>
      </c>
      <c r="P111" s="186">
        <v>0</v>
      </c>
      <c r="Q111" s="187">
        <f t="shared" si="12"/>
        <v>44000</v>
      </c>
    </row>
    <row r="112" spans="1:17" s="184" customFormat="1" ht="21" customHeight="1">
      <c r="A112" s="195">
        <v>410900</v>
      </c>
      <c r="B112" s="186">
        <v>0</v>
      </c>
      <c r="C112" s="186">
        <v>0</v>
      </c>
      <c r="D112" s="186">
        <v>0</v>
      </c>
      <c r="E112" s="186">
        <v>0</v>
      </c>
      <c r="F112" s="186">
        <v>0</v>
      </c>
      <c r="G112" s="186">
        <v>9500</v>
      </c>
      <c r="H112" s="186">
        <v>0</v>
      </c>
      <c r="I112" s="186">
        <v>0</v>
      </c>
      <c r="J112" s="186">
        <v>0</v>
      </c>
      <c r="K112" s="186">
        <v>0</v>
      </c>
      <c r="L112" s="186">
        <v>0</v>
      </c>
      <c r="M112" s="186">
        <v>0</v>
      </c>
      <c r="N112" s="186">
        <v>0</v>
      </c>
      <c r="O112" s="186">
        <v>0</v>
      </c>
      <c r="P112" s="186">
        <v>0</v>
      </c>
      <c r="Q112" s="187">
        <f t="shared" si="12"/>
        <v>9500</v>
      </c>
    </row>
    <row r="113" spans="1:17" s="184" customFormat="1" ht="21" customHeight="1">
      <c r="A113" s="195">
        <v>411700</v>
      </c>
      <c r="B113" s="186">
        <v>0</v>
      </c>
      <c r="C113" s="186">
        <v>0</v>
      </c>
      <c r="D113" s="186">
        <f>27000-27000</f>
        <v>0</v>
      </c>
      <c r="E113" s="186">
        <v>0</v>
      </c>
      <c r="F113" s="186">
        <v>0</v>
      </c>
      <c r="G113" s="186">
        <v>0</v>
      </c>
      <c r="H113" s="186">
        <v>0</v>
      </c>
      <c r="I113" s="186">
        <v>0</v>
      </c>
      <c r="J113" s="186">
        <v>0</v>
      </c>
      <c r="K113" s="186">
        <v>6000</v>
      </c>
      <c r="L113" s="186">
        <v>0</v>
      </c>
      <c r="M113" s="186">
        <v>0</v>
      </c>
      <c r="N113" s="186">
        <v>0</v>
      </c>
      <c r="O113" s="186">
        <v>0</v>
      </c>
      <c r="P113" s="186">
        <v>0</v>
      </c>
      <c r="Q113" s="187">
        <f t="shared" si="12"/>
        <v>6000</v>
      </c>
    </row>
    <row r="114" spans="1:17" s="184" customFormat="1" ht="21" customHeight="1">
      <c r="A114" s="189" t="s">
        <v>18</v>
      </c>
      <c r="B114" s="193">
        <f aca="true" t="shared" si="13" ref="B114:P114">SUM(B107:B113)</f>
        <v>261960</v>
      </c>
      <c r="C114" s="193">
        <f t="shared" si="13"/>
        <v>53200</v>
      </c>
      <c r="D114" s="193">
        <f t="shared" si="13"/>
        <v>0</v>
      </c>
      <c r="E114" s="193">
        <f t="shared" si="13"/>
        <v>0</v>
      </c>
      <c r="F114" s="193">
        <f t="shared" si="13"/>
        <v>20490</v>
      </c>
      <c r="G114" s="193">
        <f t="shared" si="13"/>
        <v>53500</v>
      </c>
      <c r="H114" s="193">
        <f t="shared" si="13"/>
        <v>0</v>
      </c>
      <c r="I114" s="193">
        <f t="shared" si="13"/>
        <v>93600</v>
      </c>
      <c r="J114" s="193">
        <f t="shared" si="13"/>
        <v>0</v>
      </c>
      <c r="K114" s="193">
        <f t="shared" si="13"/>
        <v>6000</v>
      </c>
      <c r="L114" s="193">
        <f t="shared" si="13"/>
        <v>0</v>
      </c>
      <c r="M114" s="193">
        <f t="shared" si="13"/>
        <v>0</v>
      </c>
      <c r="N114" s="193">
        <f t="shared" si="13"/>
        <v>28000</v>
      </c>
      <c r="O114" s="193">
        <f t="shared" si="13"/>
        <v>0</v>
      </c>
      <c r="P114" s="193">
        <f t="shared" si="13"/>
        <v>0</v>
      </c>
      <c r="Q114" s="187">
        <f t="shared" si="12"/>
        <v>516750</v>
      </c>
    </row>
    <row r="115" spans="1:17" s="184" customFormat="1" ht="21" customHeight="1">
      <c r="A115" s="192">
        <v>542000</v>
      </c>
      <c r="B115" s="190"/>
      <c r="C115" s="194"/>
      <c r="D115" s="193"/>
      <c r="E115" s="193"/>
      <c r="F115" s="194"/>
      <c r="G115" s="193"/>
      <c r="H115" s="190"/>
      <c r="I115" s="193"/>
      <c r="J115" s="193"/>
      <c r="K115" s="187"/>
      <c r="L115" s="193"/>
      <c r="M115" s="193"/>
      <c r="N115" s="187"/>
      <c r="O115" s="187"/>
      <c r="P115" s="193"/>
      <c r="Q115" s="187"/>
    </row>
    <row r="116" spans="1:17" s="184" customFormat="1" ht="18.75">
      <c r="A116" s="189">
        <v>420700</v>
      </c>
      <c r="B116" s="190">
        <v>0</v>
      </c>
      <c r="C116" s="190">
        <v>0</v>
      </c>
      <c r="D116" s="190">
        <v>0</v>
      </c>
      <c r="E116" s="190">
        <v>0</v>
      </c>
      <c r="F116" s="190">
        <v>0</v>
      </c>
      <c r="G116" s="190">
        <v>0</v>
      </c>
      <c r="H116" s="190">
        <v>0</v>
      </c>
      <c r="I116" s="215">
        <v>0</v>
      </c>
      <c r="J116" s="190">
        <v>365000</v>
      </c>
      <c r="K116" s="190">
        <v>0</v>
      </c>
      <c r="L116" s="190">
        <v>0</v>
      </c>
      <c r="M116" s="190">
        <v>0</v>
      </c>
      <c r="N116" s="190">
        <v>0</v>
      </c>
      <c r="O116" s="190">
        <v>0</v>
      </c>
      <c r="P116" s="190">
        <v>0</v>
      </c>
      <c r="Q116" s="187">
        <f>SUM(B116:P116)</f>
        <v>365000</v>
      </c>
    </row>
    <row r="117" spans="1:17" s="184" customFormat="1" ht="18.75">
      <c r="A117" s="189">
        <v>420900</v>
      </c>
      <c r="B117" s="190">
        <v>0</v>
      </c>
      <c r="C117" s="190">
        <v>0</v>
      </c>
      <c r="D117" s="190">
        <v>0</v>
      </c>
      <c r="E117" s="190">
        <v>0</v>
      </c>
      <c r="F117" s="190">
        <v>0</v>
      </c>
      <c r="G117" s="190">
        <v>0</v>
      </c>
      <c r="H117" s="190">
        <v>0</v>
      </c>
      <c r="I117" s="215">
        <v>0</v>
      </c>
      <c r="J117" s="190">
        <f>250000+40700+165000+74500</f>
        <v>530200</v>
      </c>
      <c r="K117" s="190">
        <v>0</v>
      </c>
      <c r="L117" s="190">
        <v>0</v>
      </c>
      <c r="M117" s="190">
        <v>0</v>
      </c>
      <c r="N117" s="190">
        <v>0</v>
      </c>
      <c r="O117" s="190">
        <v>0</v>
      </c>
      <c r="P117" s="190">
        <v>0</v>
      </c>
      <c r="Q117" s="187">
        <f>SUM(B117:P117)</f>
        <v>530200</v>
      </c>
    </row>
    <row r="118" spans="1:17" s="184" customFormat="1" ht="18.75">
      <c r="A118" s="189">
        <v>421000</v>
      </c>
      <c r="B118" s="190">
        <v>0</v>
      </c>
      <c r="C118" s="190">
        <v>0</v>
      </c>
      <c r="D118" s="190">
        <v>0</v>
      </c>
      <c r="E118" s="190">
        <v>0</v>
      </c>
      <c r="F118" s="190">
        <v>0</v>
      </c>
      <c r="G118" s="190">
        <v>0</v>
      </c>
      <c r="H118" s="190">
        <v>100000</v>
      </c>
      <c r="I118" s="215">
        <v>0</v>
      </c>
      <c r="J118" s="190">
        <f>92000+137500+159000+98800+97900+171000+45500+48900+77700+183000+67800</f>
        <v>1179100</v>
      </c>
      <c r="K118" s="190">
        <v>0</v>
      </c>
      <c r="L118" s="190">
        <v>0</v>
      </c>
      <c r="M118" s="190">
        <v>0</v>
      </c>
      <c r="N118" s="190">
        <f>5000</f>
        <v>5000</v>
      </c>
      <c r="O118" s="190">
        <v>0</v>
      </c>
      <c r="P118" s="190">
        <v>0</v>
      </c>
      <c r="Q118" s="187">
        <f>SUM(B118:P118)</f>
        <v>1284100</v>
      </c>
    </row>
    <row r="119" spans="1:17" s="184" customFormat="1" ht="21" customHeight="1">
      <c r="A119" s="189" t="s">
        <v>18</v>
      </c>
      <c r="B119" s="193">
        <f>SUM(B116:B118)</f>
        <v>0</v>
      </c>
      <c r="C119" s="193">
        <f aca="true" t="shared" si="14" ref="C119:P119">SUM(C116:C118)</f>
        <v>0</v>
      </c>
      <c r="D119" s="193">
        <f t="shared" si="14"/>
        <v>0</v>
      </c>
      <c r="E119" s="193">
        <f t="shared" si="14"/>
        <v>0</v>
      </c>
      <c r="F119" s="193">
        <f t="shared" si="14"/>
        <v>0</v>
      </c>
      <c r="G119" s="193">
        <f t="shared" si="14"/>
        <v>0</v>
      </c>
      <c r="H119" s="193">
        <f t="shared" si="14"/>
        <v>100000</v>
      </c>
      <c r="I119" s="193">
        <f t="shared" si="14"/>
        <v>0</v>
      </c>
      <c r="J119" s="193">
        <f t="shared" si="14"/>
        <v>2074300</v>
      </c>
      <c r="K119" s="193">
        <f t="shared" si="14"/>
        <v>0</v>
      </c>
      <c r="L119" s="193">
        <f t="shared" si="14"/>
        <v>0</v>
      </c>
      <c r="M119" s="193">
        <f t="shared" si="14"/>
        <v>0</v>
      </c>
      <c r="N119" s="193">
        <f t="shared" si="14"/>
        <v>5000</v>
      </c>
      <c r="O119" s="193">
        <f t="shared" si="14"/>
        <v>0</v>
      </c>
      <c r="P119" s="193">
        <f t="shared" si="14"/>
        <v>0</v>
      </c>
      <c r="Q119" s="187">
        <f>SUM(B119:P119)</f>
        <v>2179300</v>
      </c>
    </row>
    <row r="120" spans="1:17" s="184" customFormat="1" ht="21" customHeight="1">
      <c r="A120" s="192">
        <v>551000</v>
      </c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87"/>
    </row>
    <row r="121" spans="1:17" s="184" customFormat="1" ht="21" customHeight="1">
      <c r="A121" s="195">
        <v>510100</v>
      </c>
      <c r="B121" s="186">
        <v>30000</v>
      </c>
      <c r="C121" s="186">
        <v>0</v>
      </c>
      <c r="D121" s="186">
        <v>0</v>
      </c>
      <c r="E121" s="186">
        <v>100000</v>
      </c>
      <c r="F121" s="186">
        <f>20000+6000</f>
        <v>26000</v>
      </c>
      <c r="G121" s="186">
        <v>0</v>
      </c>
      <c r="H121" s="186">
        <v>0</v>
      </c>
      <c r="I121" s="186">
        <v>0</v>
      </c>
      <c r="J121" s="186">
        <v>0</v>
      </c>
      <c r="K121" s="186">
        <f>10000+18000+30000</f>
        <v>58000</v>
      </c>
      <c r="L121" s="186">
        <v>20000</v>
      </c>
      <c r="M121" s="186">
        <v>0</v>
      </c>
      <c r="N121" s="186">
        <f>10000+5000</f>
        <v>15000</v>
      </c>
      <c r="O121" s="186">
        <v>0</v>
      </c>
      <c r="P121" s="186">
        <v>0</v>
      </c>
      <c r="Q121" s="187">
        <f>SUM(B121:P121)</f>
        <v>249000</v>
      </c>
    </row>
    <row r="122" spans="1:17" s="184" customFormat="1" ht="21" customHeight="1">
      <c r="A122" s="189" t="s">
        <v>18</v>
      </c>
      <c r="B122" s="190">
        <f aca="true" t="shared" si="15" ref="B122:P122">SUM(B121)</f>
        <v>30000</v>
      </c>
      <c r="C122" s="190">
        <f t="shared" si="15"/>
        <v>0</v>
      </c>
      <c r="D122" s="190">
        <f t="shared" si="15"/>
        <v>0</v>
      </c>
      <c r="E122" s="190">
        <f t="shared" si="15"/>
        <v>100000</v>
      </c>
      <c r="F122" s="190">
        <f t="shared" si="15"/>
        <v>26000</v>
      </c>
      <c r="G122" s="190">
        <f t="shared" si="15"/>
        <v>0</v>
      </c>
      <c r="H122" s="190">
        <f t="shared" si="15"/>
        <v>0</v>
      </c>
      <c r="I122" s="190">
        <f t="shared" si="15"/>
        <v>0</v>
      </c>
      <c r="J122" s="190">
        <f t="shared" si="15"/>
        <v>0</v>
      </c>
      <c r="K122" s="190">
        <f t="shared" si="15"/>
        <v>58000</v>
      </c>
      <c r="L122" s="190">
        <f t="shared" si="15"/>
        <v>20000</v>
      </c>
      <c r="M122" s="190">
        <f t="shared" si="15"/>
        <v>0</v>
      </c>
      <c r="N122" s="190">
        <f t="shared" si="15"/>
        <v>15000</v>
      </c>
      <c r="O122" s="190">
        <f t="shared" si="15"/>
        <v>0</v>
      </c>
      <c r="P122" s="190">
        <f t="shared" si="15"/>
        <v>0</v>
      </c>
      <c r="Q122" s="187">
        <f>SUM(B122:P122)</f>
        <v>249000</v>
      </c>
    </row>
    <row r="123" spans="1:17" s="184" customFormat="1" ht="21" customHeight="1">
      <c r="A123" s="192">
        <v>561000</v>
      </c>
      <c r="B123" s="190"/>
      <c r="C123" s="194"/>
      <c r="D123" s="193"/>
      <c r="E123" s="193"/>
      <c r="F123" s="194"/>
      <c r="G123" s="193"/>
      <c r="H123" s="190"/>
      <c r="I123" s="193"/>
      <c r="J123" s="193"/>
      <c r="K123" s="187"/>
      <c r="L123" s="193"/>
      <c r="M123" s="193"/>
      <c r="N123" s="187"/>
      <c r="O123" s="187"/>
      <c r="P123" s="193"/>
      <c r="Q123" s="187"/>
    </row>
    <row r="124" spans="1:17" s="184" customFormat="1" ht="21" customHeight="1">
      <c r="A124" s="195">
        <v>610100</v>
      </c>
      <c r="B124" s="186">
        <v>10000</v>
      </c>
      <c r="C124" s="186">
        <v>0</v>
      </c>
      <c r="D124" s="186">
        <v>40000</v>
      </c>
      <c r="E124" s="186">
        <v>0</v>
      </c>
      <c r="F124" s="186">
        <f>628000+372400</f>
        <v>1000400</v>
      </c>
      <c r="G124" s="186">
        <v>80000</v>
      </c>
      <c r="H124" s="186">
        <v>0</v>
      </c>
      <c r="I124" s="186">
        <v>0</v>
      </c>
      <c r="J124" s="186">
        <v>0</v>
      </c>
      <c r="K124" s="186">
        <f>18970-18970</f>
        <v>0</v>
      </c>
      <c r="L124" s="186">
        <f>5000+50000</f>
        <v>55000</v>
      </c>
      <c r="M124" s="186">
        <f>5000+5000</f>
        <v>10000</v>
      </c>
      <c r="N124" s="207">
        <v>0</v>
      </c>
      <c r="O124" s="207">
        <v>0</v>
      </c>
      <c r="P124" s="186">
        <v>0</v>
      </c>
      <c r="Q124" s="187">
        <f>SUM(B124:P124)</f>
        <v>1195400</v>
      </c>
    </row>
    <row r="125" spans="1:17" s="184" customFormat="1" ht="21" customHeight="1">
      <c r="A125" s="189" t="s">
        <v>18</v>
      </c>
      <c r="B125" s="193">
        <f aca="true" t="shared" si="16" ref="B125:P125">SUM(B124)</f>
        <v>10000</v>
      </c>
      <c r="C125" s="193">
        <f t="shared" si="16"/>
        <v>0</v>
      </c>
      <c r="D125" s="193">
        <f t="shared" si="16"/>
        <v>40000</v>
      </c>
      <c r="E125" s="193">
        <f t="shared" si="16"/>
        <v>0</v>
      </c>
      <c r="F125" s="193">
        <f t="shared" si="16"/>
        <v>1000400</v>
      </c>
      <c r="G125" s="193">
        <f t="shared" si="16"/>
        <v>80000</v>
      </c>
      <c r="H125" s="193">
        <f t="shared" si="16"/>
        <v>0</v>
      </c>
      <c r="I125" s="193">
        <f t="shared" si="16"/>
        <v>0</v>
      </c>
      <c r="J125" s="193">
        <f t="shared" si="16"/>
        <v>0</v>
      </c>
      <c r="K125" s="193">
        <f t="shared" si="16"/>
        <v>0</v>
      </c>
      <c r="L125" s="193">
        <f t="shared" si="16"/>
        <v>55000</v>
      </c>
      <c r="M125" s="193">
        <f t="shared" si="16"/>
        <v>10000</v>
      </c>
      <c r="N125" s="193">
        <f t="shared" si="16"/>
        <v>0</v>
      </c>
      <c r="O125" s="193">
        <f t="shared" si="16"/>
        <v>0</v>
      </c>
      <c r="P125" s="193">
        <f t="shared" si="16"/>
        <v>0</v>
      </c>
      <c r="Q125" s="187">
        <f>SUM(B125:P125)</f>
        <v>1195400</v>
      </c>
    </row>
    <row r="126" spans="1:17" s="184" customFormat="1" ht="21" customHeight="1">
      <c r="A126" s="189" t="s">
        <v>72</v>
      </c>
      <c r="B126" s="193">
        <f>B14+B21+B27+B46+B53+B85+B91+B114+B119+B122+B125</f>
        <v>5266451.76</v>
      </c>
      <c r="C126" s="193">
        <f aca="true" t="shared" si="17" ref="C126:P126">C14+C21+C27+C46+C53+C85+C91+C114+C119+C122+C125</f>
        <v>1455770</v>
      </c>
      <c r="D126" s="193">
        <f t="shared" si="17"/>
        <v>40000</v>
      </c>
      <c r="E126" s="193">
        <f t="shared" si="17"/>
        <v>100000</v>
      </c>
      <c r="F126" s="193">
        <f t="shared" si="17"/>
        <v>2134682</v>
      </c>
      <c r="G126" s="193">
        <f t="shared" si="17"/>
        <v>280900</v>
      </c>
      <c r="H126" s="193">
        <f t="shared" si="17"/>
        <v>105000</v>
      </c>
      <c r="I126" s="193">
        <f t="shared" si="17"/>
        <v>1366990</v>
      </c>
      <c r="J126" s="193">
        <f t="shared" si="17"/>
        <v>2094300</v>
      </c>
      <c r="K126" s="193">
        <f t="shared" si="17"/>
        <v>313000</v>
      </c>
      <c r="L126" s="193">
        <f t="shared" si="17"/>
        <v>185000</v>
      </c>
      <c r="M126" s="193">
        <f t="shared" si="17"/>
        <v>60000</v>
      </c>
      <c r="N126" s="193">
        <f t="shared" si="17"/>
        <v>173000</v>
      </c>
      <c r="O126" s="193">
        <f t="shared" si="17"/>
        <v>227305.22</v>
      </c>
      <c r="P126" s="193">
        <f t="shared" si="17"/>
        <v>2646958</v>
      </c>
      <c r="Q126" s="187">
        <f>SUM(B126:P126)</f>
        <v>16449356.98</v>
      </c>
    </row>
    <row r="127" spans="1:17" s="184" customFormat="1" ht="21" customHeight="1">
      <c r="A127" s="200"/>
      <c r="B127" s="208"/>
      <c r="C127" s="381" t="s">
        <v>6</v>
      </c>
      <c r="D127" s="381"/>
      <c r="E127" s="381"/>
      <c r="F127" s="204"/>
      <c r="G127" s="204"/>
      <c r="H127" s="208"/>
      <c r="I127" s="208"/>
      <c r="J127" s="373" t="s">
        <v>100</v>
      </c>
      <c r="K127" s="373"/>
      <c r="L127" s="373"/>
      <c r="M127" s="208"/>
      <c r="N127" s="208"/>
      <c r="O127" s="208"/>
      <c r="P127" s="208"/>
      <c r="Q127" s="208"/>
    </row>
    <row r="128" spans="1:17" s="184" customFormat="1" ht="21">
      <c r="A128" s="200"/>
      <c r="B128" s="202"/>
      <c r="C128" s="204"/>
      <c r="D128" s="204"/>
      <c r="E128" s="204"/>
      <c r="F128" s="204"/>
      <c r="G128" s="204"/>
      <c r="H128" s="202"/>
      <c r="I128" s="202"/>
      <c r="J128" s="86"/>
      <c r="K128" s="86"/>
      <c r="L128" s="86"/>
      <c r="M128" s="202"/>
      <c r="N128" s="202"/>
      <c r="O128" s="202"/>
      <c r="P128" s="202"/>
      <c r="Q128" s="202"/>
    </row>
    <row r="129" spans="1:17" s="184" customFormat="1" ht="21" customHeight="1">
      <c r="A129" s="200"/>
      <c r="B129" s="202"/>
      <c r="C129" s="381" t="s">
        <v>116</v>
      </c>
      <c r="D129" s="381"/>
      <c r="E129" s="381"/>
      <c r="F129" s="204"/>
      <c r="G129" s="204"/>
      <c r="H129" s="202"/>
      <c r="I129" s="202"/>
      <c r="J129" s="373" t="s">
        <v>256</v>
      </c>
      <c r="K129" s="373"/>
      <c r="L129" s="373"/>
      <c r="M129" s="202"/>
      <c r="N129" s="202"/>
      <c r="O129" s="202"/>
      <c r="P129" s="202"/>
      <c r="Q129" s="202"/>
    </row>
    <row r="130" spans="1:17" s="209" customFormat="1" ht="21" customHeight="1">
      <c r="A130" s="203"/>
      <c r="B130" s="202"/>
      <c r="C130" s="381" t="s">
        <v>106</v>
      </c>
      <c r="D130" s="381"/>
      <c r="E130" s="381"/>
      <c r="F130" s="204"/>
      <c r="G130" s="204"/>
      <c r="H130" s="202"/>
      <c r="I130" s="202"/>
      <c r="J130" s="373" t="s">
        <v>99</v>
      </c>
      <c r="K130" s="373"/>
      <c r="L130" s="373"/>
      <c r="M130" s="202"/>
      <c r="N130" s="202"/>
      <c r="O130" s="202"/>
      <c r="P130" s="202"/>
      <c r="Q130" s="202"/>
    </row>
  </sheetData>
  <mergeCells count="46">
    <mergeCell ref="C95:E95"/>
    <mergeCell ref="A69:Q69"/>
    <mergeCell ref="D70:E70"/>
    <mergeCell ref="B70:C70"/>
    <mergeCell ref="L70:M70"/>
    <mergeCell ref="I70:J70"/>
    <mergeCell ref="J95:L95"/>
    <mergeCell ref="C54:E54"/>
    <mergeCell ref="C57:E57"/>
    <mergeCell ref="C58:E58"/>
    <mergeCell ref="C92:E92"/>
    <mergeCell ref="I36:J36"/>
    <mergeCell ref="D36:E36"/>
    <mergeCell ref="B36:C36"/>
    <mergeCell ref="C29:E29"/>
    <mergeCell ref="A35:Q35"/>
    <mergeCell ref="C32:E32"/>
    <mergeCell ref="C31:E31"/>
    <mergeCell ref="J32:L32"/>
    <mergeCell ref="J31:L31"/>
    <mergeCell ref="C96:E96"/>
    <mergeCell ref="A1:Q1"/>
    <mergeCell ref="A2:Q2"/>
    <mergeCell ref="A3:Q3"/>
    <mergeCell ref="I4:J4"/>
    <mergeCell ref="L4:M4"/>
    <mergeCell ref="B4:C4"/>
    <mergeCell ref="D4:E4"/>
    <mergeCell ref="J29:L29"/>
    <mergeCell ref="L36:M36"/>
    <mergeCell ref="C130:E130"/>
    <mergeCell ref="C127:E127"/>
    <mergeCell ref="C129:E129"/>
    <mergeCell ref="A103:Q103"/>
    <mergeCell ref="B104:C104"/>
    <mergeCell ref="D104:E104"/>
    <mergeCell ref="I104:J104"/>
    <mergeCell ref="L104:M104"/>
    <mergeCell ref="J54:L54"/>
    <mergeCell ref="J57:L57"/>
    <mergeCell ref="J58:L58"/>
    <mergeCell ref="J92:L92"/>
    <mergeCell ref="J96:L96"/>
    <mergeCell ref="J127:L127"/>
    <mergeCell ref="J129:L129"/>
    <mergeCell ref="J130:L130"/>
  </mergeCells>
  <printOptions/>
  <pageMargins left="0.15748031496062992" right="0" top="0.5905511811023623" bottom="0" header="0.5118110236220472" footer="0.5118110236220472"/>
  <pageSetup horizontalDpi="180" verticalDpi="18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B1">
      <selection activeCell="H65" sqref="H65"/>
    </sheetView>
  </sheetViews>
  <sheetFormatPr defaultColWidth="9.140625" defaultRowHeight="21.75"/>
  <cols>
    <col min="1" max="1" width="16.8515625" style="164" customWidth="1"/>
    <col min="2" max="3" width="10.28125" style="164" bestFit="1" customWidth="1"/>
    <col min="4" max="4" width="6.00390625" style="164" bestFit="1" customWidth="1"/>
    <col min="5" max="5" width="11.28125" style="164" bestFit="1" customWidth="1"/>
    <col min="6" max="6" width="11.421875" style="164" bestFit="1" customWidth="1"/>
    <col min="7" max="7" width="8.7109375" style="164" customWidth="1"/>
    <col min="8" max="8" width="9.7109375" style="164" customWidth="1"/>
    <col min="9" max="9" width="11.421875" style="164" bestFit="1" customWidth="1"/>
    <col min="10" max="10" width="13.00390625" style="164" bestFit="1" customWidth="1"/>
    <col min="11" max="11" width="8.00390625" style="164" customWidth="1"/>
    <col min="12" max="12" width="9.28125" style="164" customWidth="1"/>
    <col min="13" max="13" width="9.28125" style="164" bestFit="1" customWidth="1"/>
    <col min="14" max="14" width="11.7109375" style="164" customWidth="1"/>
    <col min="15" max="15" width="6.00390625" style="164" bestFit="1" customWidth="1"/>
    <col min="16" max="16" width="12.8515625" style="164" bestFit="1" customWidth="1"/>
    <col min="17" max="16384" width="9.140625" style="164" customWidth="1"/>
  </cols>
  <sheetData>
    <row r="1" spans="1:16" ht="21" customHeight="1">
      <c r="A1" s="386" t="s">
        <v>13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16" ht="23.25" customHeight="1">
      <c r="A2" s="386" t="s">
        <v>105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1:16" ht="21.75" customHeight="1" thickBot="1">
      <c r="A3" s="387" t="s">
        <v>243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</row>
    <row r="4" spans="1:16" s="316" customFormat="1" ht="21.75">
      <c r="A4" s="38" t="s">
        <v>15</v>
      </c>
      <c r="B4" s="389" t="s">
        <v>81</v>
      </c>
      <c r="C4" s="390"/>
      <c r="D4" s="389" t="s">
        <v>84</v>
      </c>
      <c r="E4" s="390"/>
      <c r="F4" s="39" t="s">
        <v>90</v>
      </c>
      <c r="G4" s="39" t="s">
        <v>91</v>
      </c>
      <c r="H4" s="40" t="s">
        <v>94</v>
      </c>
      <c r="I4" s="389" t="s">
        <v>85</v>
      </c>
      <c r="J4" s="390"/>
      <c r="K4" s="41" t="s">
        <v>95</v>
      </c>
      <c r="L4" s="389" t="s">
        <v>86</v>
      </c>
      <c r="M4" s="391"/>
      <c r="N4" s="41" t="s">
        <v>98</v>
      </c>
      <c r="O4" s="39" t="s">
        <v>79</v>
      </c>
      <c r="P4" s="48" t="s">
        <v>16</v>
      </c>
    </row>
    <row r="5" spans="1:16" s="316" customFormat="1" ht="22.5" thickBot="1">
      <c r="A5" s="42" t="s">
        <v>17</v>
      </c>
      <c r="B5" s="44" t="s">
        <v>82</v>
      </c>
      <c r="C5" s="45" t="s">
        <v>83</v>
      </c>
      <c r="D5" s="43" t="s">
        <v>75</v>
      </c>
      <c r="E5" s="43" t="s">
        <v>76</v>
      </c>
      <c r="F5" s="44" t="s">
        <v>89</v>
      </c>
      <c r="G5" s="44" t="s">
        <v>92</v>
      </c>
      <c r="H5" s="46" t="s">
        <v>93</v>
      </c>
      <c r="I5" s="43" t="s">
        <v>77</v>
      </c>
      <c r="J5" s="43" t="s">
        <v>78</v>
      </c>
      <c r="K5" s="47" t="s">
        <v>96</v>
      </c>
      <c r="L5" s="45" t="s">
        <v>87</v>
      </c>
      <c r="M5" s="37" t="s">
        <v>88</v>
      </c>
      <c r="N5" s="47" t="s">
        <v>97</v>
      </c>
      <c r="O5" s="43" t="s">
        <v>80</v>
      </c>
      <c r="P5" s="311"/>
    </row>
    <row r="6" spans="1:16" ht="21.75">
      <c r="A6" s="49" t="s">
        <v>250</v>
      </c>
      <c r="B6" s="26"/>
      <c r="C6" s="27"/>
      <c r="D6" s="26"/>
      <c r="E6" s="26"/>
      <c r="F6" s="27"/>
      <c r="G6" s="27"/>
      <c r="H6" s="28"/>
      <c r="I6" s="26"/>
      <c r="J6" s="26"/>
      <c r="K6" s="302"/>
      <c r="L6" s="26"/>
      <c r="M6" s="28"/>
      <c r="N6" s="302"/>
      <c r="O6" s="26"/>
      <c r="P6" s="302"/>
    </row>
    <row r="7" spans="1:16" ht="21.75">
      <c r="A7" s="303" t="s">
        <v>155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4">
        <f>SUM(B7:O7)</f>
        <v>0</v>
      </c>
    </row>
    <row r="8" spans="1:16" ht="21.75">
      <c r="A8" s="20" t="s">
        <v>18</v>
      </c>
      <c r="B8" s="29">
        <f aca="true" t="shared" si="0" ref="B8:O8">SUM(B7:B7)</f>
        <v>0</v>
      </c>
      <c r="C8" s="29">
        <f t="shared" si="0"/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304">
        <f>SUM(B8:O8)</f>
        <v>0</v>
      </c>
    </row>
    <row r="9" spans="1:16" ht="21.75">
      <c r="A9" s="20" t="s">
        <v>19</v>
      </c>
      <c r="B9" s="29">
        <f>0</f>
        <v>0</v>
      </c>
      <c r="C9" s="29">
        <f>0</f>
        <v>0</v>
      </c>
      <c r="D9" s="29">
        <f>0</f>
        <v>0</v>
      </c>
      <c r="E9" s="29">
        <f>0</f>
        <v>0</v>
      </c>
      <c r="F9" s="29">
        <f>0</f>
        <v>0</v>
      </c>
      <c r="G9" s="29">
        <f>0</f>
        <v>0</v>
      </c>
      <c r="H9" s="29">
        <f>0</f>
        <v>0</v>
      </c>
      <c r="I9" s="29">
        <f>0</f>
        <v>0</v>
      </c>
      <c r="J9" s="29">
        <f>0</f>
        <v>0</v>
      </c>
      <c r="K9" s="29">
        <f>0</f>
        <v>0</v>
      </c>
      <c r="L9" s="29">
        <f>0</f>
        <v>0</v>
      </c>
      <c r="M9" s="29">
        <f>0</f>
        <v>0</v>
      </c>
      <c r="N9" s="29">
        <f>0</f>
        <v>0</v>
      </c>
      <c r="O9" s="29">
        <v>0</v>
      </c>
      <c r="P9" s="304">
        <f>SUM(B9:O9)</f>
        <v>0</v>
      </c>
    </row>
    <row r="10" spans="1:16" ht="21.75">
      <c r="A10" s="21">
        <v>521000</v>
      </c>
      <c r="B10" s="30"/>
      <c r="C10" s="31"/>
      <c r="D10" s="30"/>
      <c r="E10" s="30"/>
      <c r="F10" s="31"/>
      <c r="G10" s="31"/>
      <c r="H10" s="30"/>
      <c r="I10" s="30"/>
      <c r="J10" s="30"/>
      <c r="K10" s="304"/>
      <c r="L10" s="30"/>
      <c r="M10" s="30"/>
      <c r="N10" s="304"/>
      <c r="O10" s="29"/>
      <c r="P10" s="304"/>
    </row>
    <row r="11" spans="1:16" ht="21.75">
      <c r="A11" s="305">
        <v>210100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304">
        <f>SUM(B11:O11)</f>
        <v>0</v>
      </c>
    </row>
    <row r="12" spans="1:16" ht="21.75">
      <c r="A12" s="20" t="s">
        <v>18</v>
      </c>
      <c r="B12" s="29">
        <f aca="true" t="shared" si="1" ref="B12:O12">SUM(B11:B11)</f>
        <v>0</v>
      </c>
      <c r="C12" s="29">
        <f t="shared" si="1"/>
        <v>0</v>
      </c>
      <c r="D12" s="29">
        <f t="shared" si="1"/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  <c r="O12" s="29">
        <f t="shared" si="1"/>
        <v>0</v>
      </c>
      <c r="P12" s="304">
        <f>SUM(B12:O12)</f>
        <v>0</v>
      </c>
    </row>
    <row r="13" spans="1:16" ht="21.75">
      <c r="A13" s="20" t="s">
        <v>19</v>
      </c>
      <c r="B13" s="29">
        <v>0</v>
      </c>
      <c r="C13" s="29">
        <v>0</v>
      </c>
      <c r="D13" s="29">
        <f>0</f>
        <v>0</v>
      </c>
      <c r="E13" s="29">
        <f>0</f>
        <v>0</v>
      </c>
      <c r="F13" s="29">
        <f>0</f>
        <v>0</v>
      </c>
      <c r="G13" s="29">
        <f>0</f>
        <v>0</v>
      </c>
      <c r="H13" s="29">
        <f>0</f>
        <v>0</v>
      </c>
      <c r="I13" s="29">
        <v>0</v>
      </c>
      <c r="J13" s="29">
        <f>0</f>
        <v>0</v>
      </c>
      <c r="K13" s="29">
        <f>0</f>
        <v>0</v>
      </c>
      <c r="L13" s="29">
        <f>0</f>
        <v>0</v>
      </c>
      <c r="M13" s="29">
        <f>0</f>
        <v>0</v>
      </c>
      <c r="N13" s="29">
        <f>0</f>
        <v>0</v>
      </c>
      <c r="O13" s="29">
        <f>0</f>
        <v>0</v>
      </c>
      <c r="P13" s="304">
        <f>SUM(B13:O13)</f>
        <v>0</v>
      </c>
    </row>
    <row r="14" spans="1:16" ht="21.75">
      <c r="A14" s="21">
        <v>522000</v>
      </c>
      <c r="B14" s="29"/>
      <c r="C14" s="32"/>
      <c r="D14" s="30"/>
      <c r="E14" s="30"/>
      <c r="F14" s="31"/>
      <c r="G14" s="31"/>
      <c r="H14" s="30"/>
      <c r="I14" s="30"/>
      <c r="J14" s="29"/>
      <c r="K14" s="304"/>
      <c r="L14" s="30"/>
      <c r="M14" s="30"/>
      <c r="N14" s="304"/>
      <c r="O14" s="29"/>
      <c r="P14" s="304"/>
    </row>
    <row r="15" spans="1:16" ht="21.75">
      <c r="A15" s="305">
        <v>220100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304">
        <f>SUM(B15:O15)</f>
        <v>0</v>
      </c>
    </row>
    <row r="16" spans="1:16" ht="21.75">
      <c r="A16" s="20" t="s">
        <v>18</v>
      </c>
      <c r="B16" s="29">
        <f aca="true" t="shared" si="2" ref="B16:O16">B15</f>
        <v>0</v>
      </c>
      <c r="C16" s="29">
        <f t="shared" si="2"/>
        <v>0</v>
      </c>
      <c r="D16" s="29">
        <f t="shared" si="2"/>
        <v>0</v>
      </c>
      <c r="E16" s="29">
        <f t="shared" si="2"/>
        <v>0</v>
      </c>
      <c r="F16" s="29">
        <f t="shared" si="2"/>
        <v>0</v>
      </c>
      <c r="G16" s="29">
        <f t="shared" si="2"/>
        <v>0</v>
      </c>
      <c r="H16" s="29">
        <f t="shared" si="2"/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304">
        <f>SUM(B16:O16)</f>
        <v>0</v>
      </c>
    </row>
    <row r="17" spans="1:16" ht="21.75">
      <c r="A17" s="20" t="s">
        <v>19</v>
      </c>
      <c r="B17" s="29">
        <v>0</v>
      </c>
      <c r="C17" s="29">
        <v>0</v>
      </c>
      <c r="D17" s="29">
        <f>0</f>
        <v>0</v>
      </c>
      <c r="E17" s="29">
        <f>0</f>
        <v>0</v>
      </c>
      <c r="F17" s="29">
        <f>0</f>
        <v>0</v>
      </c>
      <c r="G17" s="29">
        <f>0</f>
        <v>0</v>
      </c>
      <c r="H17" s="29">
        <f>0</f>
        <v>0</v>
      </c>
      <c r="I17" s="29">
        <f>0</f>
        <v>0</v>
      </c>
      <c r="J17" s="29">
        <f>0</f>
        <v>0</v>
      </c>
      <c r="K17" s="29">
        <f>0</f>
        <v>0</v>
      </c>
      <c r="L17" s="29">
        <f>0</f>
        <v>0</v>
      </c>
      <c r="M17" s="312">
        <f>0</f>
        <v>0</v>
      </c>
      <c r="N17" s="29">
        <f>0</f>
        <v>0</v>
      </c>
      <c r="O17" s="29">
        <f>0</f>
        <v>0</v>
      </c>
      <c r="P17" s="304">
        <f>SUM(B17:O17)</f>
        <v>0</v>
      </c>
    </row>
    <row r="18" spans="1:16" ht="21.75">
      <c r="A18" s="22">
        <v>531000</v>
      </c>
      <c r="B18" s="33"/>
      <c r="C18" s="34"/>
      <c r="D18" s="26"/>
      <c r="E18" s="26"/>
      <c r="F18" s="27"/>
      <c r="G18" s="27"/>
      <c r="H18" s="26"/>
      <c r="I18" s="26"/>
      <c r="J18" s="33"/>
      <c r="K18" s="304"/>
      <c r="L18" s="26"/>
      <c r="M18" s="30"/>
      <c r="N18" s="304"/>
      <c r="O18" s="33"/>
      <c r="P18" s="304"/>
    </row>
    <row r="19" spans="1:16" ht="21.75">
      <c r="A19" s="305">
        <v>310100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304">
        <f>SUM(B19:O19)</f>
        <v>0</v>
      </c>
    </row>
    <row r="20" spans="1:16" ht="21.75">
      <c r="A20" s="20" t="s">
        <v>18</v>
      </c>
      <c r="B20" s="29">
        <f aca="true" t="shared" si="3" ref="B20:O20">SUM(B19:B19)</f>
        <v>0</v>
      </c>
      <c r="C20" s="29">
        <f t="shared" si="3"/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304">
        <f>SUM(B20:O20)</f>
        <v>0</v>
      </c>
    </row>
    <row r="21" spans="1:16" ht="21.75">
      <c r="A21" s="20" t="s">
        <v>19</v>
      </c>
      <c r="B21" s="29">
        <v>0</v>
      </c>
      <c r="C21" s="29">
        <v>0</v>
      </c>
      <c r="D21" s="29">
        <f>0</f>
        <v>0</v>
      </c>
      <c r="E21" s="29">
        <f>0</f>
        <v>0</v>
      </c>
      <c r="F21" s="29">
        <f>0</f>
        <v>0</v>
      </c>
      <c r="G21" s="29">
        <f>0</f>
        <v>0</v>
      </c>
      <c r="H21" s="29">
        <f>0</f>
        <v>0</v>
      </c>
      <c r="I21" s="29">
        <v>0</v>
      </c>
      <c r="J21" s="29">
        <f>0</f>
        <v>0</v>
      </c>
      <c r="K21" s="29">
        <f>0</f>
        <v>0</v>
      </c>
      <c r="L21" s="29">
        <f>0</f>
        <v>0</v>
      </c>
      <c r="M21" s="29">
        <f>0</f>
        <v>0</v>
      </c>
      <c r="N21" s="29">
        <f>0</f>
        <v>0</v>
      </c>
      <c r="O21" s="29">
        <f>0</f>
        <v>0</v>
      </c>
      <c r="P21" s="304">
        <f>SUM(B21:O21)</f>
        <v>0</v>
      </c>
    </row>
    <row r="22" spans="1:16" ht="21.75">
      <c r="A22" s="21">
        <v>532000</v>
      </c>
      <c r="B22" s="29"/>
      <c r="C22" s="32"/>
      <c r="D22" s="30"/>
      <c r="E22" s="30"/>
      <c r="F22" s="31"/>
      <c r="G22" s="31"/>
      <c r="H22" s="29"/>
      <c r="I22" s="30"/>
      <c r="J22" s="29"/>
      <c r="K22" s="304"/>
      <c r="L22" s="30"/>
      <c r="M22" s="30"/>
      <c r="N22" s="304"/>
      <c r="O22" s="29"/>
      <c r="P22" s="304"/>
    </row>
    <row r="23" spans="1:16" ht="21.75">
      <c r="A23" s="305">
        <v>320100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304">
        <f>SUM(B23:O23)</f>
        <v>0</v>
      </c>
    </row>
    <row r="24" spans="1:16" ht="21.75">
      <c r="A24" s="20" t="s">
        <v>18</v>
      </c>
      <c r="B24" s="29">
        <f aca="true" t="shared" si="4" ref="B24:O24">SUM(B23:B23)</f>
        <v>0</v>
      </c>
      <c r="C24" s="29">
        <f t="shared" si="4"/>
        <v>0</v>
      </c>
      <c r="D24" s="29">
        <f t="shared" si="4"/>
        <v>0</v>
      </c>
      <c r="E24" s="29">
        <f t="shared" si="4"/>
        <v>0</v>
      </c>
      <c r="F24" s="29">
        <f t="shared" si="4"/>
        <v>0</v>
      </c>
      <c r="G24" s="29">
        <f t="shared" si="4"/>
        <v>0</v>
      </c>
      <c r="H24" s="29">
        <f t="shared" si="4"/>
        <v>0</v>
      </c>
      <c r="I24" s="29">
        <f t="shared" si="4"/>
        <v>0</v>
      </c>
      <c r="J24" s="29">
        <f t="shared" si="4"/>
        <v>0</v>
      </c>
      <c r="K24" s="29">
        <f t="shared" si="4"/>
        <v>0</v>
      </c>
      <c r="L24" s="29">
        <f t="shared" si="4"/>
        <v>0</v>
      </c>
      <c r="M24" s="29">
        <f t="shared" si="4"/>
        <v>0</v>
      </c>
      <c r="N24" s="29">
        <f t="shared" si="4"/>
        <v>0</v>
      </c>
      <c r="O24" s="29">
        <f t="shared" si="4"/>
        <v>0</v>
      </c>
      <c r="P24" s="304">
        <f>SUM(B24:O24)</f>
        <v>0</v>
      </c>
    </row>
    <row r="25" spans="1:16" ht="21.75">
      <c r="A25" s="317" t="s">
        <v>19</v>
      </c>
      <c r="B25" s="29">
        <v>0</v>
      </c>
      <c r="C25" s="29">
        <f>0</f>
        <v>0</v>
      </c>
      <c r="D25" s="29">
        <f>0</f>
        <v>0</v>
      </c>
      <c r="E25" s="29">
        <f>0</f>
        <v>0</v>
      </c>
      <c r="F25" s="29">
        <f>0</f>
        <v>0</v>
      </c>
      <c r="G25" s="29">
        <f>0</f>
        <v>0</v>
      </c>
      <c r="H25" s="29">
        <f>0</f>
        <v>0</v>
      </c>
      <c r="I25" s="29">
        <v>0</v>
      </c>
      <c r="J25" s="29">
        <f>0</f>
        <v>0</v>
      </c>
      <c r="K25" s="29">
        <f>0</f>
        <v>0</v>
      </c>
      <c r="L25" s="29">
        <f>0</f>
        <v>0</v>
      </c>
      <c r="M25" s="29">
        <f>0</f>
        <v>0</v>
      </c>
      <c r="N25" s="29">
        <f>0</f>
        <v>0</v>
      </c>
      <c r="O25" s="29">
        <f>0</f>
        <v>0</v>
      </c>
      <c r="P25" s="304">
        <f>SUM(B25:O25)</f>
        <v>0</v>
      </c>
    </row>
    <row r="26" spans="1:16" ht="21.75">
      <c r="A26" s="21">
        <v>533000</v>
      </c>
      <c r="B26" s="29"/>
      <c r="C26" s="34"/>
      <c r="D26" s="26"/>
      <c r="E26" s="29"/>
      <c r="F26" s="32"/>
      <c r="G26" s="27"/>
      <c r="H26" s="29"/>
      <c r="I26" s="29"/>
      <c r="J26" s="29"/>
      <c r="K26" s="304"/>
      <c r="L26" s="36"/>
      <c r="M26" s="33"/>
      <c r="N26" s="304"/>
      <c r="O26" s="33"/>
      <c r="P26" s="304"/>
    </row>
    <row r="27" spans="1:16" ht="21.75">
      <c r="A27" s="305">
        <v>331700</v>
      </c>
      <c r="B27" s="29">
        <v>0</v>
      </c>
      <c r="C27" s="29">
        <v>0</v>
      </c>
      <c r="D27" s="29">
        <v>0</v>
      </c>
      <c r="E27" s="29">
        <v>0</v>
      </c>
      <c r="F27" s="29">
        <v>10800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304">
        <f>SUM(B27:O27)</f>
        <v>10800</v>
      </c>
    </row>
    <row r="28" spans="1:16" ht="21.75">
      <c r="A28" s="20" t="s">
        <v>18</v>
      </c>
      <c r="B28" s="29">
        <f aca="true" t="shared" si="5" ref="B28:N28">SUM(B27)</f>
        <v>0</v>
      </c>
      <c r="C28" s="29">
        <f t="shared" si="5"/>
        <v>0</v>
      </c>
      <c r="D28" s="29">
        <f t="shared" si="5"/>
        <v>0</v>
      </c>
      <c r="E28" s="29">
        <f t="shared" si="5"/>
        <v>0</v>
      </c>
      <c r="F28" s="29">
        <f t="shared" si="5"/>
        <v>10800</v>
      </c>
      <c r="G28" s="29">
        <f t="shared" si="5"/>
        <v>0</v>
      </c>
      <c r="H28" s="29">
        <f t="shared" si="5"/>
        <v>0</v>
      </c>
      <c r="I28" s="29">
        <f t="shared" si="5"/>
        <v>0</v>
      </c>
      <c r="J28" s="29">
        <f t="shared" si="5"/>
        <v>0</v>
      </c>
      <c r="K28" s="29">
        <f t="shared" si="5"/>
        <v>0</v>
      </c>
      <c r="L28" s="29">
        <f t="shared" si="5"/>
        <v>0</v>
      </c>
      <c r="M28" s="29">
        <f t="shared" si="5"/>
        <v>0</v>
      </c>
      <c r="N28" s="29">
        <f t="shared" si="5"/>
        <v>0</v>
      </c>
      <c r="O28" s="29">
        <f>SUM(O27)</f>
        <v>0</v>
      </c>
      <c r="P28" s="304">
        <f>SUM(B28:O28)</f>
        <v>10800</v>
      </c>
    </row>
    <row r="29" spans="1:16" ht="21.75">
      <c r="A29" s="20" t="s">
        <v>19</v>
      </c>
      <c r="B29" s="29">
        <v>0</v>
      </c>
      <c r="C29" s="29">
        <v>0</v>
      </c>
      <c r="D29" s="29">
        <f>0</f>
        <v>0</v>
      </c>
      <c r="E29" s="29">
        <f>0</f>
        <v>0</v>
      </c>
      <c r="F29" s="29">
        <v>10800</v>
      </c>
      <c r="G29" s="29">
        <f>0</f>
        <v>0</v>
      </c>
      <c r="H29" s="29">
        <f>0</f>
        <v>0</v>
      </c>
      <c r="I29" s="29">
        <v>0</v>
      </c>
      <c r="J29" s="29">
        <f>0</f>
        <v>0</v>
      </c>
      <c r="K29" s="29">
        <f>0</f>
        <v>0</v>
      </c>
      <c r="L29" s="29">
        <f>0</f>
        <v>0</v>
      </c>
      <c r="M29" s="29">
        <f>0</f>
        <v>0</v>
      </c>
      <c r="N29" s="29">
        <f>0</f>
        <v>0</v>
      </c>
      <c r="O29" s="29">
        <f>0</f>
        <v>0</v>
      </c>
      <c r="P29" s="304">
        <f>SUM(B29:O29)</f>
        <v>10800</v>
      </c>
    </row>
    <row r="30" spans="1:16" ht="21.75">
      <c r="A30" s="200"/>
      <c r="B30" s="35"/>
      <c r="C30" s="35"/>
      <c r="D30" s="35"/>
      <c r="E30" s="393" t="s">
        <v>6</v>
      </c>
      <c r="F30" s="393"/>
      <c r="G30" s="393"/>
      <c r="H30" s="320"/>
      <c r="I30" s="320"/>
      <c r="J30" s="393" t="s">
        <v>100</v>
      </c>
      <c r="K30" s="393"/>
      <c r="L30" s="393"/>
      <c r="M30" s="309"/>
      <c r="N30" s="314"/>
      <c r="O30" s="35"/>
      <c r="P30" s="310"/>
    </row>
    <row r="31" spans="1:16" ht="21.75">
      <c r="A31" s="307"/>
      <c r="B31" s="35"/>
      <c r="C31" s="35"/>
      <c r="D31" s="35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5"/>
      <c r="P31" s="310"/>
    </row>
    <row r="32" spans="1:16" ht="21.75">
      <c r="A32" s="307"/>
      <c r="B32" s="35"/>
      <c r="C32" s="35"/>
      <c r="D32" s="35"/>
      <c r="E32" s="394" t="s">
        <v>114</v>
      </c>
      <c r="F32" s="394"/>
      <c r="G32" s="394"/>
      <c r="H32" s="321"/>
      <c r="I32" s="321"/>
      <c r="J32" s="394" t="s">
        <v>256</v>
      </c>
      <c r="K32" s="394"/>
      <c r="L32" s="394"/>
      <c r="M32" s="309"/>
      <c r="N32" s="308"/>
      <c r="O32" s="35"/>
      <c r="P32" s="310"/>
    </row>
    <row r="33" spans="1:16" ht="21.75">
      <c r="A33" s="307"/>
      <c r="B33" s="35"/>
      <c r="C33" s="35"/>
      <c r="D33" s="35"/>
      <c r="E33" s="394" t="s">
        <v>106</v>
      </c>
      <c r="F33" s="394"/>
      <c r="G33" s="394"/>
      <c r="H33" s="321"/>
      <c r="I33" s="321"/>
      <c r="J33" s="394" t="s">
        <v>99</v>
      </c>
      <c r="K33" s="394"/>
      <c r="L33" s="394"/>
      <c r="M33" s="309"/>
      <c r="N33" s="308"/>
      <c r="O33" s="35"/>
      <c r="P33" s="310"/>
    </row>
    <row r="34" spans="1:16" ht="22.5" thickBot="1">
      <c r="A34" s="392" t="s">
        <v>74</v>
      </c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</row>
    <row r="35" spans="1:16" s="316" customFormat="1" ht="21.75">
      <c r="A35" s="38" t="s">
        <v>15</v>
      </c>
      <c r="B35" s="389" t="s">
        <v>81</v>
      </c>
      <c r="C35" s="390"/>
      <c r="D35" s="389" t="s">
        <v>84</v>
      </c>
      <c r="E35" s="390"/>
      <c r="F35" s="39" t="s">
        <v>90</v>
      </c>
      <c r="G35" s="39" t="s">
        <v>91</v>
      </c>
      <c r="H35" s="40" t="s">
        <v>94</v>
      </c>
      <c r="I35" s="389" t="s">
        <v>85</v>
      </c>
      <c r="J35" s="390"/>
      <c r="K35" s="41" t="s">
        <v>95</v>
      </c>
      <c r="L35" s="389" t="s">
        <v>86</v>
      </c>
      <c r="M35" s="391"/>
      <c r="N35" s="41" t="s">
        <v>98</v>
      </c>
      <c r="O35" s="39" t="s">
        <v>79</v>
      </c>
      <c r="P35" s="48" t="s">
        <v>16</v>
      </c>
    </row>
    <row r="36" spans="1:16" s="316" customFormat="1" ht="22.5" thickBot="1">
      <c r="A36" s="42" t="s">
        <v>17</v>
      </c>
      <c r="B36" s="44" t="s">
        <v>82</v>
      </c>
      <c r="C36" s="45" t="s">
        <v>83</v>
      </c>
      <c r="D36" s="43" t="s">
        <v>75</v>
      </c>
      <c r="E36" s="43" t="s">
        <v>76</v>
      </c>
      <c r="F36" s="44" t="s">
        <v>89</v>
      </c>
      <c r="G36" s="44" t="s">
        <v>92</v>
      </c>
      <c r="H36" s="46" t="s">
        <v>93</v>
      </c>
      <c r="I36" s="43" t="s">
        <v>77</v>
      </c>
      <c r="J36" s="43" t="s">
        <v>78</v>
      </c>
      <c r="K36" s="47" t="s">
        <v>96</v>
      </c>
      <c r="L36" s="45" t="s">
        <v>87</v>
      </c>
      <c r="M36" s="37" t="s">
        <v>88</v>
      </c>
      <c r="N36" s="47" t="s">
        <v>97</v>
      </c>
      <c r="O36" s="43" t="s">
        <v>80</v>
      </c>
      <c r="P36" s="311"/>
    </row>
    <row r="37" spans="1:16" ht="21.75">
      <c r="A37" s="21">
        <v>534000</v>
      </c>
      <c r="B37" s="29"/>
      <c r="C37" s="31"/>
      <c r="D37" s="30"/>
      <c r="E37" s="30"/>
      <c r="F37" s="31"/>
      <c r="G37" s="30"/>
      <c r="H37" s="29"/>
      <c r="I37" s="30"/>
      <c r="J37" s="30"/>
      <c r="K37" s="304"/>
      <c r="L37" s="30"/>
      <c r="M37" s="30"/>
      <c r="N37" s="304"/>
      <c r="O37" s="30"/>
      <c r="P37" s="304"/>
    </row>
    <row r="38" spans="1:16" ht="21.75">
      <c r="A38" s="305">
        <v>340100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304">
        <f>SUM(B38:O38)</f>
        <v>0</v>
      </c>
    </row>
    <row r="39" spans="1:16" ht="21.75">
      <c r="A39" s="20" t="s">
        <v>18</v>
      </c>
      <c r="B39" s="30">
        <f aca="true" t="shared" si="6" ref="B39:O39">SUM(B38:B38)</f>
        <v>0</v>
      </c>
      <c r="C39" s="30">
        <f t="shared" si="6"/>
        <v>0</v>
      </c>
      <c r="D39" s="30">
        <f t="shared" si="6"/>
        <v>0</v>
      </c>
      <c r="E39" s="30">
        <f t="shared" si="6"/>
        <v>0</v>
      </c>
      <c r="F39" s="30">
        <f t="shared" si="6"/>
        <v>0</v>
      </c>
      <c r="G39" s="30">
        <f t="shared" si="6"/>
        <v>0</v>
      </c>
      <c r="H39" s="30">
        <f t="shared" si="6"/>
        <v>0</v>
      </c>
      <c r="I39" s="30">
        <f t="shared" si="6"/>
        <v>0</v>
      </c>
      <c r="J39" s="30">
        <f t="shared" si="6"/>
        <v>0</v>
      </c>
      <c r="K39" s="30">
        <f t="shared" si="6"/>
        <v>0</v>
      </c>
      <c r="L39" s="30">
        <f t="shared" si="6"/>
        <v>0</v>
      </c>
      <c r="M39" s="30">
        <f t="shared" si="6"/>
        <v>0</v>
      </c>
      <c r="N39" s="30">
        <f t="shared" si="6"/>
        <v>0</v>
      </c>
      <c r="O39" s="30">
        <f t="shared" si="6"/>
        <v>0</v>
      </c>
      <c r="P39" s="304">
        <f>SUM(B39:O39)</f>
        <v>0</v>
      </c>
    </row>
    <row r="40" spans="1:16" ht="21.75">
      <c r="A40" s="20" t="s">
        <v>19</v>
      </c>
      <c r="B40" s="29">
        <v>0</v>
      </c>
      <c r="C40" s="29">
        <f>0</f>
        <v>0</v>
      </c>
      <c r="D40" s="29">
        <f>0</f>
        <v>0</v>
      </c>
      <c r="E40" s="29">
        <f>0</f>
        <v>0</v>
      </c>
      <c r="F40" s="29">
        <f>0</f>
        <v>0</v>
      </c>
      <c r="G40" s="29">
        <f>0</f>
        <v>0</v>
      </c>
      <c r="H40" s="29">
        <f>0</f>
        <v>0</v>
      </c>
      <c r="I40" s="29">
        <f>0</f>
        <v>0</v>
      </c>
      <c r="J40" s="29">
        <f>0</f>
        <v>0</v>
      </c>
      <c r="K40" s="29">
        <f>0</f>
        <v>0</v>
      </c>
      <c r="L40" s="29">
        <f>0</f>
        <v>0</v>
      </c>
      <c r="M40" s="29">
        <f>0</f>
        <v>0</v>
      </c>
      <c r="N40" s="29">
        <f>0</f>
        <v>0</v>
      </c>
      <c r="O40" s="29">
        <f>0</f>
        <v>0</v>
      </c>
      <c r="P40" s="304">
        <f>SUM(B40:O40)</f>
        <v>0</v>
      </c>
    </row>
    <row r="41" spans="1:16" ht="21.75">
      <c r="A41" s="21">
        <v>541000</v>
      </c>
      <c r="B41" s="29"/>
      <c r="C41" s="31"/>
      <c r="D41" s="30"/>
      <c r="E41" s="30"/>
      <c r="F41" s="31"/>
      <c r="G41" s="30"/>
      <c r="H41" s="29"/>
      <c r="I41" s="30"/>
      <c r="J41" s="30"/>
      <c r="K41" s="304"/>
      <c r="L41" s="30"/>
      <c r="M41" s="30"/>
      <c r="N41" s="304"/>
      <c r="O41" s="30"/>
      <c r="P41" s="304"/>
    </row>
    <row r="42" spans="1:16" ht="21.75">
      <c r="A42" s="306">
        <v>410100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304">
        <f>SUM(B42:O42)</f>
        <v>0</v>
      </c>
    </row>
    <row r="43" spans="1:16" ht="21.75">
      <c r="A43" s="20" t="s">
        <v>18</v>
      </c>
      <c r="B43" s="30">
        <f aca="true" t="shared" si="7" ref="B43:O43">SUM(B42)</f>
        <v>0</v>
      </c>
      <c r="C43" s="30">
        <f t="shared" si="7"/>
        <v>0</v>
      </c>
      <c r="D43" s="30">
        <f t="shared" si="7"/>
        <v>0</v>
      </c>
      <c r="E43" s="30">
        <f t="shared" si="7"/>
        <v>0</v>
      </c>
      <c r="F43" s="30">
        <f t="shared" si="7"/>
        <v>0</v>
      </c>
      <c r="G43" s="30">
        <f t="shared" si="7"/>
        <v>0</v>
      </c>
      <c r="H43" s="30">
        <f t="shared" si="7"/>
        <v>0</v>
      </c>
      <c r="I43" s="30">
        <f t="shared" si="7"/>
        <v>0</v>
      </c>
      <c r="J43" s="30">
        <f t="shared" si="7"/>
        <v>0</v>
      </c>
      <c r="K43" s="30">
        <f t="shared" si="7"/>
        <v>0</v>
      </c>
      <c r="L43" s="30">
        <f t="shared" si="7"/>
        <v>0</v>
      </c>
      <c r="M43" s="30">
        <f t="shared" si="7"/>
        <v>0</v>
      </c>
      <c r="N43" s="30">
        <f t="shared" si="7"/>
        <v>0</v>
      </c>
      <c r="O43" s="30">
        <f t="shared" si="7"/>
        <v>0</v>
      </c>
      <c r="P43" s="304">
        <f>SUM(B43:O43)</f>
        <v>0</v>
      </c>
    </row>
    <row r="44" spans="1:16" ht="21.75">
      <c r="A44" s="20" t="s">
        <v>19</v>
      </c>
      <c r="B44" s="312">
        <f>0</f>
        <v>0</v>
      </c>
      <c r="C44" s="312">
        <f>0</f>
        <v>0</v>
      </c>
      <c r="D44" s="312">
        <f>0</f>
        <v>0</v>
      </c>
      <c r="E44" s="312">
        <f>0</f>
        <v>0</v>
      </c>
      <c r="F44" s="29">
        <f>0</f>
        <v>0</v>
      </c>
      <c r="G44" s="29">
        <f>0</f>
        <v>0</v>
      </c>
      <c r="H44" s="312">
        <f>0</f>
        <v>0</v>
      </c>
      <c r="I44" s="312">
        <f>0</f>
        <v>0</v>
      </c>
      <c r="J44" s="312">
        <f>0</f>
        <v>0</v>
      </c>
      <c r="K44" s="312">
        <f>0</f>
        <v>0</v>
      </c>
      <c r="L44" s="312">
        <f>0</f>
        <v>0</v>
      </c>
      <c r="M44" s="29">
        <f>0</f>
        <v>0</v>
      </c>
      <c r="N44" s="312">
        <f>0</f>
        <v>0</v>
      </c>
      <c r="O44" s="312">
        <f>0</f>
        <v>0</v>
      </c>
      <c r="P44" s="304">
        <f>SUM(B44:O44)</f>
        <v>0</v>
      </c>
    </row>
    <row r="45" spans="1:16" ht="21.75">
      <c r="A45" s="21">
        <v>542000</v>
      </c>
      <c r="B45" s="29"/>
      <c r="C45" s="31"/>
      <c r="D45" s="30"/>
      <c r="E45" s="30"/>
      <c r="F45" s="31"/>
      <c r="G45" s="30"/>
      <c r="H45" s="29"/>
      <c r="I45" s="30"/>
      <c r="J45" s="30"/>
      <c r="K45" s="304"/>
      <c r="L45" s="30"/>
      <c r="M45" s="30"/>
      <c r="N45" s="304"/>
      <c r="O45" s="30"/>
      <c r="P45" s="304"/>
    </row>
    <row r="46" spans="1:16" ht="21.75">
      <c r="A46" s="20">
        <v>420900</v>
      </c>
      <c r="B46" s="29">
        <v>0</v>
      </c>
      <c r="C46" s="31">
        <v>0</v>
      </c>
      <c r="D46" s="30">
        <v>0</v>
      </c>
      <c r="E46" s="30">
        <v>0</v>
      </c>
      <c r="F46" s="31">
        <v>0</v>
      </c>
      <c r="G46" s="30">
        <v>0</v>
      </c>
      <c r="H46" s="29">
        <v>0</v>
      </c>
      <c r="I46" s="30">
        <v>0</v>
      </c>
      <c r="J46" s="30">
        <v>26038.18</v>
      </c>
      <c r="K46" s="304">
        <v>0</v>
      </c>
      <c r="L46" s="30">
        <v>0</v>
      </c>
      <c r="M46" s="30">
        <v>0</v>
      </c>
      <c r="N46" s="304">
        <v>0</v>
      </c>
      <c r="O46" s="30"/>
      <c r="P46" s="304">
        <f>SUM(B46:O46)</f>
        <v>26038.18</v>
      </c>
    </row>
    <row r="47" spans="1:16" ht="21.75">
      <c r="A47" s="20">
        <v>421000</v>
      </c>
      <c r="B47" s="29">
        <v>0</v>
      </c>
      <c r="C47" s="31">
        <v>0</v>
      </c>
      <c r="D47" s="30">
        <v>0</v>
      </c>
      <c r="E47" s="30">
        <v>0</v>
      </c>
      <c r="F47" s="31">
        <v>0</v>
      </c>
      <c r="G47" s="30">
        <v>0</v>
      </c>
      <c r="H47" s="29">
        <v>0</v>
      </c>
      <c r="I47" s="30">
        <v>0</v>
      </c>
      <c r="J47" s="30">
        <v>247000</v>
      </c>
      <c r="K47" s="304">
        <v>0</v>
      </c>
      <c r="L47" s="30">
        <v>0</v>
      </c>
      <c r="M47" s="30">
        <v>0</v>
      </c>
      <c r="N47" s="304">
        <v>0</v>
      </c>
      <c r="O47" s="30"/>
      <c r="P47" s="304">
        <f>SUM(B47:O47)</f>
        <v>247000</v>
      </c>
    </row>
    <row r="48" spans="1:16" ht="21.75">
      <c r="A48" s="20" t="s">
        <v>18</v>
      </c>
      <c r="B48" s="30">
        <f>SUM(B46:B47)</f>
        <v>0</v>
      </c>
      <c r="C48" s="30">
        <f aca="true" t="shared" si="8" ref="C48:O48">SUM(C46:C47)</f>
        <v>0</v>
      </c>
      <c r="D48" s="30">
        <f t="shared" si="8"/>
        <v>0</v>
      </c>
      <c r="E48" s="30">
        <f t="shared" si="8"/>
        <v>0</v>
      </c>
      <c r="F48" s="30">
        <f t="shared" si="8"/>
        <v>0</v>
      </c>
      <c r="G48" s="30">
        <f t="shared" si="8"/>
        <v>0</v>
      </c>
      <c r="H48" s="30">
        <f t="shared" si="8"/>
        <v>0</v>
      </c>
      <c r="I48" s="30">
        <f t="shared" si="8"/>
        <v>0</v>
      </c>
      <c r="J48" s="30">
        <f t="shared" si="8"/>
        <v>273038.18</v>
      </c>
      <c r="K48" s="30">
        <f t="shared" si="8"/>
        <v>0</v>
      </c>
      <c r="L48" s="30">
        <f t="shared" si="8"/>
        <v>0</v>
      </c>
      <c r="M48" s="30">
        <f t="shared" si="8"/>
        <v>0</v>
      </c>
      <c r="N48" s="30">
        <f t="shared" si="8"/>
        <v>0</v>
      </c>
      <c r="O48" s="30">
        <f t="shared" si="8"/>
        <v>0</v>
      </c>
      <c r="P48" s="304">
        <f>SUM(B48:O48)</f>
        <v>273038.18</v>
      </c>
    </row>
    <row r="49" spans="1:16" ht="21.75">
      <c r="A49" s="20" t="s">
        <v>19</v>
      </c>
      <c r="B49" s="29">
        <v>0</v>
      </c>
      <c r="C49" s="29">
        <v>0</v>
      </c>
      <c r="D49" s="29">
        <f>0</f>
        <v>0</v>
      </c>
      <c r="E49" s="29">
        <f>0</f>
        <v>0</v>
      </c>
      <c r="F49" s="29">
        <f>0</f>
        <v>0</v>
      </c>
      <c r="G49" s="29">
        <f>0</f>
        <v>0</v>
      </c>
      <c r="H49" s="29">
        <f>0</f>
        <v>0</v>
      </c>
      <c r="I49" s="29">
        <v>0</v>
      </c>
      <c r="J49" s="29">
        <v>273038.18</v>
      </c>
      <c r="K49" s="29">
        <f>0</f>
        <v>0</v>
      </c>
      <c r="L49" s="29">
        <f>0</f>
        <v>0</v>
      </c>
      <c r="M49" s="29">
        <f>0</f>
        <v>0</v>
      </c>
      <c r="N49" s="29">
        <v>0</v>
      </c>
      <c r="O49" s="29">
        <f>0</f>
        <v>0</v>
      </c>
      <c r="P49" s="304">
        <f>SUM(B49:O49)</f>
        <v>273038.18</v>
      </c>
    </row>
    <row r="50" spans="1:16" ht="21.75">
      <c r="A50" s="21">
        <v>551000</v>
      </c>
      <c r="B50" s="29"/>
      <c r="C50" s="31"/>
      <c r="D50" s="30"/>
      <c r="E50" s="30"/>
      <c r="F50" s="31"/>
      <c r="G50" s="30"/>
      <c r="H50" s="29"/>
      <c r="I50" s="30"/>
      <c r="J50" s="30"/>
      <c r="K50" s="304"/>
      <c r="L50" s="30"/>
      <c r="M50" s="30"/>
      <c r="N50" s="304"/>
      <c r="O50" s="30"/>
      <c r="P50" s="304"/>
    </row>
    <row r="51" spans="1:16" ht="21.75">
      <c r="A51" s="305">
        <v>510100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304">
        <f>SUM(B51:O51)</f>
        <v>0</v>
      </c>
    </row>
    <row r="52" spans="1:16" ht="21.75">
      <c r="A52" s="20" t="s">
        <v>18</v>
      </c>
      <c r="B52" s="30">
        <f aca="true" t="shared" si="9" ref="B52:O52">SUM(B51:B51)</f>
        <v>0</v>
      </c>
      <c r="C52" s="30">
        <f t="shared" si="9"/>
        <v>0</v>
      </c>
      <c r="D52" s="30">
        <f t="shared" si="9"/>
        <v>0</v>
      </c>
      <c r="E52" s="30">
        <f t="shared" si="9"/>
        <v>0</v>
      </c>
      <c r="F52" s="30">
        <f t="shared" si="9"/>
        <v>0</v>
      </c>
      <c r="G52" s="30">
        <f t="shared" si="9"/>
        <v>0</v>
      </c>
      <c r="H52" s="30">
        <f t="shared" si="9"/>
        <v>0</v>
      </c>
      <c r="I52" s="30">
        <f t="shared" si="9"/>
        <v>0</v>
      </c>
      <c r="J52" s="30">
        <f t="shared" si="9"/>
        <v>0</v>
      </c>
      <c r="K52" s="30">
        <f t="shared" si="9"/>
        <v>0</v>
      </c>
      <c r="L52" s="30">
        <f t="shared" si="9"/>
        <v>0</v>
      </c>
      <c r="M52" s="30">
        <f t="shared" si="9"/>
        <v>0</v>
      </c>
      <c r="N52" s="30">
        <f t="shared" si="9"/>
        <v>0</v>
      </c>
      <c r="O52" s="30">
        <f t="shared" si="9"/>
        <v>0</v>
      </c>
      <c r="P52" s="304">
        <f>SUM(B52:O52)</f>
        <v>0</v>
      </c>
    </row>
    <row r="53" spans="1:16" ht="21.75">
      <c r="A53" s="20" t="s">
        <v>19</v>
      </c>
      <c r="B53" s="29">
        <v>0</v>
      </c>
      <c r="C53" s="29">
        <f>0</f>
        <v>0</v>
      </c>
      <c r="D53" s="29">
        <f>0</f>
        <v>0</v>
      </c>
      <c r="E53" s="29">
        <f>0</f>
        <v>0</v>
      </c>
      <c r="F53" s="29">
        <f>0</f>
        <v>0</v>
      </c>
      <c r="G53" s="29">
        <f>0</f>
        <v>0</v>
      </c>
      <c r="H53" s="29">
        <f>0</f>
        <v>0</v>
      </c>
      <c r="I53" s="29">
        <v>0</v>
      </c>
      <c r="J53" s="29">
        <v>0</v>
      </c>
      <c r="K53" s="29">
        <f>0</f>
        <v>0</v>
      </c>
      <c r="L53" s="29">
        <f>0</f>
        <v>0</v>
      </c>
      <c r="M53" s="29">
        <f>0</f>
        <v>0</v>
      </c>
      <c r="N53" s="29">
        <f>0</f>
        <v>0</v>
      </c>
      <c r="O53" s="29">
        <f>0</f>
        <v>0</v>
      </c>
      <c r="P53" s="304">
        <f>SUM(B53:O53)</f>
        <v>0</v>
      </c>
    </row>
    <row r="54" spans="1:16" ht="21.75">
      <c r="A54" s="21">
        <v>561000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04"/>
    </row>
    <row r="55" spans="1:16" ht="21.75">
      <c r="A55" s="305">
        <v>610100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30">
        <f>SUM(B55:O55)</f>
        <v>0</v>
      </c>
    </row>
    <row r="56" spans="1:16" ht="21.75">
      <c r="A56" s="20" t="s">
        <v>18</v>
      </c>
      <c r="B56" s="29">
        <f aca="true" t="shared" si="10" ref="B56:O56">SUM(B55)</f>
        <v>0</v>
      </c>
      <c r="C56" s="29">
        <f t="shared" si="10"/>
        <v>0</v>
      </c>
      <c r="D56" s="29">
        <f t="shared" si="10"/>
        <v>0</v>
      </c>
      <c r="E56" s="29">
        <f t="shared" si="10"/>
        <v>0</v>
      </c>
      <c r="F56" s="29">
        <f t="shared" si="10"/>
        <v>0</v>
      </c>
      <c r="G56" s="29">
        <f t="shared" si="10"/>
        <v>0</v>
      </c>
      <c r="H56" s="29">
        <f t="shared" si="10"/>
        <v>0</v>
      </c>
      <c r="I56" s="29">
        <f t="shared" si="10"/>
        <v>0</v>
      </c>
      <c r="J56" s="29">
        <f t="shared" si="10"/>
        <v>0</v>
      </c>
      <c r="K56" s="29">
        <f t="shared" si="10"/>
        <v>0</v>
      </c>
      <c r="L56" s="29">
        <f t="shared" si="10"/>
        <v>0</v>
      </c>
      <c r="M56" s="29">
        <f t="shared" si="10"/>
        <v>0</v>
      </c>
      <c r="N56" s="29">
        <f t="shared" si="10"/>
        <v>0</v>
      </c>
      <c r="O56" s="29">
        <f t="shared" si="10"/>
        <v>0</v>
      </c>
      <c r="P56" s="30">
        <f>SUM(B56:O56)</f>
        <v>0</v>
      </c>
    </row>
    <row r="57" spans="1:16" ht="21.75">
      <c r="A57" s="20" t="s">
        <v>19</v>
      </c>
      <c r="B57" s="29">
        <f>0</f>
        <v>0</v>
      </c>
      <c r="C57" s="29">
        <f>0</f>
        <v>0</v>
      </c>
      <c r="D57" s="29">
        <f>0</f>
        <v>0</v>
      </c>
      <c r="E57" s="29">
        <v>0</v>
      </c>
      <c r="F57" s="29">
        <f>0</f>
        <v>0</v>
      </c>
      <c r="G57" s="29">
        <f>0</f>
        <v>0</v>
      </c>
      <c r="H57" s="29">
        <f>0</f>
        <v>0</v>
      </c>
      <c r="I57" s="29">
        <f>0</f>
        <v>0</v>
      </c>
      <c r="J57" s="29">
        <v>0</v>
      </c>
      <c r="K57" s="29">
        <f>0</f>
        <v>0</v>
      </c>
      <c r="L57" s="29">
        <f>0</f>
        <v>0</v>
      </c>
      <c r="M57" s="29">
        <v>0</v>
      </c>
      <c r="N57" s="29">
        <f>0</f>
        <v>0</v>
      </c>
      <c r="O57" s="29">
        <f>0</f>
        <v>0</v>
      </c>
      <c r="P57" s="30">
        <f>SUM(B57:O57)</f>
        <v>0</v>
      </c>
    </row>
    <row r="58" spans="1:16" ht="21.75">
      <c r="A58" s="20" t="s">
        <v>72</v>
      </c>
      <c r="B58" s="30">
        <f aca="true" t="shared" si="11" ref="B58:N58">B8+B12+B16+B20+B24+B28+B39+B43+B48+B52+B56</f>
        <v>0</v>
      </c>
      <c r="C58" s="30">
        <f t="shared" si="11"/>
        <v>0</v>
      </c>
      <c r="D58" s="30">
        <f t="shared" si="11"/>
        <v>0</v>
      </c>
      <c r="E58" s="30">
        <f t="shared" si="11"/>
        <v>0</v>
      </c>
      <c r="F58" s="30">
        <f aca="true" t="shared" si="12" ref="F58:H59">F8+F12+F16+F20+F24+F28+F39+F43+F48+F52+F56</f>
        <v>10800</v>
      </c>
      <c r="G58" s="30">
        <f t="shared" si="12"/>
        <v>0</v>
      </c>
      <c r="H58" s="30">
        <f t="shared" si="12"/>
        <v>0</v>
      </c>
      <c r="I58" s="30">
        <f t="shared" si="11"/>
        <v>0</v>
      </c>
      <c r="J58" s="30">
        <f t="shared" si="11"/>
        <v>273038.18</v>
      </c>
      <c r="K58" s="30">
        <f>K8+K12+K16+K20+K24+K28+K39+K43+K48+K52+K56</f>
        <v>0</v>
      </c>
      <c r="L58" s="30">
        <f t="shared" si="11"/>
        <v>0</v>
      </c>
      <c r="M58" s="30">
        <f t="shared" si="11"/>
        <v>0</v>
      </c>
      <c r="N58" s="30">
        <f t="shared" si="11"/>
        <v>0</v>
      </c>
      <c r="O58" s="30">
        <f>O8+O12+O16+O20+O24+O28+O39+O43+O48+O52+O56</f>
        <v>0</v>
      </c>
      <c r="P58" s="30">
        <f>SUM(B58:O58)</f>
        <v>283838.18</v>
      </c>
    </row>
    <row r="59" spans="1:16" ht="21.75">
      <c r="A59" s="20" t="s">
        <v>103</v>
      </c>
      <c r="B59" s="30">
        <f>B9+B13+B17+B21+B25+B29+B40+B44+B49+B53+B57</f>
        <v>0</v>
      </c>
      <c r="C59" s="30">
        <f aca="true" t="shared" si="13" ref="C59:N59">C9+C13+C17+C21+C25+C29+C40+C44+C49+C53+C57</f>
        <v>0</v>
      </c>
      <c r="D59" s="30">
        <f t="shared" si="13"/>
        <v>0</v>
      </c>
      <c r="E59" s="30">
        <f t="shared" si="13"/>
        <v>0</v>
      </c>
      <c r="F59" s="30">
        <f t="shared" si="12"/>
        <v>10800</v>
      </c>
      <c r="G59" s="30">
        <f t="shared" si="12"/>
        <v>0</v>
      </c>
      <c r="H59" s="30">
        <f t="shared" si="12"/>
        <v>0</v>
      </c>
      <c r="I59" s="30">
        <f t="shared" si="13"/>
        <v>0</v>
      </c>
      <c r="J59" s="30">
        <f t="shared" si="13"/>
        <v>273038.18</v>
      </c>
      <c r="K59" s="30">
        <f>K9+K13+K17+K21+K25+K29+K40+K44+K49+K53+K57</f>
        <v>0</v>
      </c>
      <c r="L59" s="30">
        <f t="shared" si="13"/>
        <v>0</v>
      </c>
      <c r="M59" s="30">
        <f t="shared" si="13"/>
        <v>0</v>
      </c>
      <c r="N59" s="30">
        <f t="shared" si="13"/>
        <v>0</v>
      </c>
      <c r="O59" s="30">
        <f>O9+O13+O17+O21+O25+O29+O40+O44+O49+O53+O57</f>
        <v>0</v>
      </c>
      <c r="P59" s="30">
        <f>SUM(B59:O59)</f>
        <v>283838.18</v>
      </c>
    </row>
    <row r="60" spans="1:16" ht="21.75">
      <c r="A60" s="307"/>
      <c r="B60" s="313"/>
      <c r="C60" s="313"/>
      <c r="D60" s="313"/>
      <c r="E60" s="393" t="s">
        <v>6</v>
      </c>
      <c r="F60" s="393"/>
      <c r="G60" s="393"/>
      <c r="H60" s="320"/>
      <c r="I60" s="320"/>
      <c r="J60" s="393" t="s">
        <v>100</v>
      </c>
      <c r="K60" s="393"/>
      <c r="L60" s="393"/>
      <c r="M60" s="309"/>
      <c r="N60" s="314"/>
      <c r="O60" s="313"/>
      <c r="P60" s="315"/>
    </row>
    <row r="61" spans="1:16" ht="21.75">
      <c r="A61" s="307"/>
      <c r="B61" s="35"/>
      <c r="C61" s="35"/>
      <c r="D61" s="35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5"/>
      <c r="P61" s="318"/>
    </row>
    <row r="62" spans="1:16" ht="21.75">
      <c r="A62" s="307"/>
      <c r="B62" s="35"/>
      <c r="C62" s="35"/>
      <c r="D62" s="35"/>
      <c r="E62" s="394" t="s">
        <v>114</v>
      </c>
      <c r="F62" s="394"/>
      <c r="G62" s="394"/>
      <c r="H62" s="321"/>
      <c r="I62" s="321"/>
      <c r="J62" s="394" t="s">
        <v>256</v>
      </c>
      <c r="K62" s="394"/>
      <c r="L62" s="394"/>
      <c r="M62" s="309"/>
      <c r="N62" s="308"/>
      <c r="O62" s="35"/>
      <c r="P62" s="318"/>
    </row>
    <row r="63" spans="1:16" ht="21.75">
      <c r="A63" s="200"/>
      <c r="B63" s="35"/>
      <c r="C63" s="35"/>
      <c r="D63" s="35"/>
      <c r="E63" s="394" t="s">
        <v>106</v>
      </c>
      <c r="F63" s="394"/>
      <c r="G63" s="394"/>
      <c r="H63" s="321"/>
      <c r="I63" s="321"/>
      <c r="J63" s="394" t="s">
        <v>99</v>
      </c>
      <c r="K63" s="394"/>
      <c r="L63" s="394"/>
      <c r="M63" s="309"/>
      <c r="N63" s="308"/>
      <c r="O63" s="35"/>
      <c r="P63" s="318"/>
    </row>
    <row r="64" spans="1:16" ht="21.75">
      <c r="A64" s="200"/>
      <c r="B64" s="35"/>
      <c r="C64" s="35"/>
      <c r="D64" s="35"/>
      <c r="E64" s="308"/>
      <c r="F64" s="309"/>
      <c r="G64" s="309"/>
      <c r="H64" s="308"/>
      <c r="I64" s="308"/>
      <c r="J64" s="308"/>
      <c r="K64" s="308"/>
      <c r="L64" s="308"/>
      <c r="M64" s="309"/>
      <c r="N64" s="308"/>
      <c r="O64" s="35"/>
      <c r="P64" s="318"/>
    </row>
    <row r="65" spans="2:13" ht="21.75">
      <c r="B65" s="319"/>
      <c r="C65" s="319"/>
      <c r="D65" s="319"/>
      <c r="E65" s="319"/>
      <c r="F65" s="319"/>
      <c r="G65" s="319"/>
      <c r="H65" s="319"/>
      <c r="I65" s="319"/>
      <c r="J65" s="319"/>
      <c r="L65" s="319"/>
      <c r="M65" s="319"/>
    </row>
  </sheetData>
  <mergeCells count="24">
    <mergeCell ref="A34:P34"/>
    <mergeCell ref="D35:E35"/>
    <mergeCell ref="B35:C35"/>
    <mergeCell ref="L35:M35"/>
    <mergeCell ref="I35:J35"/>
    <mergeCell ref="E30:G30"/>
    <mergeCell ref="E32:G32"/>
    <mergeCell ref="E33:G33"/>
    <mergeCell ref="J30:L30"/>
    <mergeCell ref="J32:L32"/>
    <mergeCell ref="J33:L33"/>
    <mergeCell ref="A1:P1"/>
    <mergeCell ref="A2:P2"/>
    <mergeCell ref="A3:P3"/>
    <mergeCell ref="I4:J4"/>
    <mergeCell ref="L4:M4"/>
    <mergeCell ref="B4:C4"/>
    <mergeCell ref="D4:E4"/>
    <mergeCell ref="E60:G60"/>
    <mergeCell ref="E62:G62"/>
    <mergeCell ref="E63:G63"/>
    <mergeCell ref="J60:L60"/>
    <mergeCell ref="J62:L62"/>
    <mergeCell ref="J63:L63"/>
  </mergeCells>
  <printOptions/>
  <pageMargins left="0.75" right="0.25" top="0" bottom="0" header="0.011811024" footer="0.01"/>
  <pageSetup horizontalDpi="180" verticalDpi="18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ASIA</cp:lastModifiedBy>
  <cp:lastPrinted>2010-02-12T08:07:23Z</cp:lastPrinted>
  <dcterms:created xsi:type="dcterms:W3CDTF">2006-01-23T06:43:20Z</dcterms:created>
  <dcterms:modified xsi:type="dcterms:W3CDTF">2010-09-09T18:13:52Z</dcterms:modified>
  <cp:category/>
  <cp:version/>
  <cp:contentType/>
  <cp:contentStatus/>
</cp:coreProperties>
</file>