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8" activeTab="8"/>
  </bookViews>
  <sheets>
    <sheet name="รายงานรับ-จ่าย" sheetId="1" r:id="rId1"/>
    <sheet name="กระแสเงินสด" sheetId="2" r:id="rId2"/>
    <sheet name="งบกระทบยอดธนาคารธกส." sheetId="3" r:id="rId3"/>
    <sheet name="งบกระทบยอดธนาคารกรุงไทย" sheetId="4" r:id="rId4"/>
    <sheet name="งบทดลอง" sheetId="5" r:id="rId5"/>
    <sheet name="หมายเหตุประกอบ" sheetId="6" r:id="rId6"/>
    <sheet name="กระดาษทำการ(เงินรายรับ)" sheetId="7" r:id="rId7"/>
    <sheet name="คงเหลือรายรับ" sheetId="8" r:id="rId8"/>
    <sheet name="กระดาษทำการเงินสะสม" sheetId="9" r:id="rId9"/>
    <sheet name="กระดาษทำการเงินอุดหนุนค้างจ่าย" sheetId="10" r:id="rId10"/>
    <sheet name="กระดาษทำการรายจ่ายค้างจ่าย" sheetId="11" r:id="rId11"/>
  </sheets>
  <definedNames>
    <definedName name="_xlnm.Print_Area" localSheetId="1">'กระแสเงินสด'!$A$1:$J$32</definedName>
  </definedNames>
  <calcPr fullCalcOnLoad="1"/>
</workbook>
</file>

<file path=xl/comments10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</commentList>
</comments>
</file>

<file path=xl/comments11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5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</commentList>
</comments>
</file>

<file path=xl/comments7.xml><?xml version="1.0" encoding="utf-8"?>
<comments xmlns="http://schemas.openxmlformats.org/spreadsheetml/2006/main">
  <authors>
    <author>com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L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0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1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2" authorId="0">
      <text>
        <r>
          <rPr>
            <b/>
            <sz val="8"/>
            <rFont val="Tahoma"/>
            <family val="0"/>
          </rPr>
          <t>เงินช่วยพิเศษ(เงินสมทบเบี้ยยังชีพ)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N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2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6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1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1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3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1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  <comment ref="A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วัสดุสำรวจ</t>
        </r>
      </text>
    </comment>
  </commentList>
</comments>
</file>

<file path=xl/comments8.xml><?xml version="1.0" encoding="utf-8"?>
<comments xmlns="http://schemas.openxmlformats.org/spreadsheetml/2006/main">
  <authors>
    <author>com</author>
    <author>user</author>
    <author>iLLuSioN</author>
    <author>CasperX</author>
    <author>MoZarD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8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4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O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0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1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2" authorId="0">
      <text>
        <r>
          <rPr>
            <b/>
            <sz val="8"/>
            <rFont val="Tahoma"/>
            <family val="0"/>
          </rPr>
          <t>เงินช่วยพิเศษ(เงินสมทบเบี้ยยังชีพ)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3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5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7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B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0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0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0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13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1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12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</commentList>
</comments>
</file>

<file path=xl/comments9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</commentList>
</comments>
</file>

<file path=xl/sharedStrings.xml><?xml version="1.0" encoding="utf-8"?>
<sst xmlns="http://schemas.openxmlformats.org/spreadsheetml/2006/main" count="1123" uniqueCount="304">
  <si>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</si>
  <si>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</si>
  <si>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</si>
  <si>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</si>
  <si>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</si>
  <si>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</si>
  <si>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</si>
  <si>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</si>
  <si>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</si>
  <si>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</si>
  <si>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</si>
  <si>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</si>
  <si>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</si>
  <si>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      </t>
    </r>
    <r>
      <rPr>
        <b/>
        <sz val="16"/>
        <rFont val="Cordia New"/>
        <family val="2"/>
      </rP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</si>
  <si>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</si>
  <si>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</si>
  <si>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</si>
  <si>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</si>
  <si>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</si>
  <si>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</si>
  <si>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</si>
  <si>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</si>
  <si>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 xml:space="preserve">     องค์การบริหารส่วนตำบลเกาะทวด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</si>
  <si>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</si>
  <si>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</si>
  <si>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</si>
  <si>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</si>
  <si>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</si>
  <si>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</si>
  <si>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</si>
  <si>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</si>
  <si>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</si>
  <si>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</si>
  <si>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</si>
  <si>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</si>
  <si>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</si>
  <si>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</si>
  <si>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</si>
  <si>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</si>
  <si>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</si>
  <si>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</si>
  <si>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</si>
  <si>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</si>
  <si>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</si>
  <si>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</si>
  <si>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</si>
  <si>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</si>
  <si>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</si>
  <si>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</si>
  <si>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</si>
  <si>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</si>
  <si>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</si>
  <si>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</si>
  <si>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</si>
  <si>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</si>
  <si>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</si>
  <si>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</si>
  <si>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</si>
  <si>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</si>
  <si>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</si>
  <si>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</si>
  <si>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</si>
  <si>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</si>
  <si>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</si>
  <si>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</si>
  <si>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</si>
  <si>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</si>
  <si>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</si>
  <si>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</si>
  <si>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</si>
  <si>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</si>
  <si>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 xml:space="preserve">      อำเภอปากพนัง      จังหวัด นครศรีธรรมราช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</si>
  <si>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</si>
  <si>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</si>
  <si>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</si>
  <si>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</si>
  <si>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</si>
  <si>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</si>
  <si>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</si>
  <si>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</si>
  <si>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</si>
  <si>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</si>
  <si>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</si>
  <si>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</si>
  <si>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</si>
  <si>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</si>
  <si>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</si>
  <si>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</si>
  <si>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</si>
  <si>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</si>
  <si>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</si>
  <si>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</si>
  <si>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</si>
  <si>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</si>
  <si>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</si>
  <si>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</si>
  <si>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</si>
  <si>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</si>
  <si>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</si>
  <si>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</si>
  <si>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</si>
  <si>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</si>
  <si>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</si>
  <si>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</si>
  <si>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</si>
  <si>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</si>
  <si>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</si>
  <si>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รายจ่ายตามงบประมาณ (จ่ายจากเงินอุดหนุนค้างจ่าย)</t>
  </si>
  <si>
    <t>รายจ่ายตามงบประมาณ (จ่ายจากรายจ่ายค้างจ่าย)</t>
  </si>
  <si>
    <t>00214</t>
  </si>
  <si>
    <t>00212</t>
  </si>
  <si>
    <t>เจ้าพนักงานการเงินและบัญชี</t>
  </si>
  <si>
    <t>รายจ่ายรอจ่าย</t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</si>
  <si>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</si>
  <si>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</si>
  <si>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</si>
  <si>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</si>
  <si>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</si>
  <si>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</si>
  <si>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(นางนงนุช   รอดจบ)</t>
  </si>
  <si>
    <t>(นางนงนุช    รอดจบ)</t>
  </si>
  <si>
    <t>(นางนงนุช  รอดจบ)</t>
  </si>
  <si>
    <t>ภาษีหน้าฎีกา</t>
  </si>
  <si>
    <t>รายจ่ายค้างจ่าย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</si>
  <si>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</si>
  <si>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</si>
  <si>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</si>
  <si>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>(ลงชื่อ)………………………..             (ลงชื่อ)………………………..             (ลงชื่อ)……………………………</t>
  </si>
  <si>
    <t xml:space="preserve">    (นายวรรณรัตน์  มณีโชติ)                      (นายจิราวุธ  กรเพชร)                       (นายวรรณชาติ  ยอดแก้ว)</t>
  </si>
  <si>
    <t xml:space="preserve">       หัวหน้าส่วนการคลัง                     ปลัดองค์การบริหารส่วนตำบล        นายกองค์การบริหารส่วนตำบลเกาะทวด</t>
  </si>
  <si>
    <t>(ลงชื่อ)...........................................                         (ลงชื่อ)...........................................</t>
  </si>
  <si>
    <t xml:space="preserve">        (นายจิราวุธ  กรเพชร)                                           (นายวรรณชาติ   ยอดแก้ว)</t>
  </si>
  <si>
    <t xml:space="preserve">    (นายวรรณรัตน์  มณีโชติ)</t>
  </si>
  <si>
    <t xml:space="preserve">       หัวหน้าส่วนการคลัง</t>
  </si>
  <si>
    <t xml:space="preserve">  ปลัดองค์การบริหารส่วนตำบล                      นายกองค์การบริหารส่วนตำบลเกาะทวด</t>
  </si>
  <si>
    <t>บัญชีเงินรายรับ</t>
  </si>
  <si>
    <t>วันที่โอนเข้าบัญชี</t>
  </si>
  <si>
    <t>วันที่ลงบัญชี</t>
  </si>
  <si>
    <t>จำนวนเงิน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</si>
  <si>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</si>
  <si>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</si>
  <si>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</si>
  <si>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</si>
  <si>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</si>
  <si>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เงินอุดหนุนค้างจ่าย</t>
  </si>
  <si>
    <t>เงินรับฝาก (หมายเหตุ 3)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</si>
  <si>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</si>
  <si>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 นายวรรณรัตน์  มณีโชติ</t>
    </r>
  </si>
  <si>
    <r>
      <t>ลงชื่อ</t>
    </r>
    <r>
      <rPr>
        <sz val="16"/>
        <rFont val="Cordia New"/>
        <family val="2"/>
      </rPr>
      <t xml:space="preserve">  นางนงนุช  รอดจบ</t>
    </r>
  </si>
  <si>
    <t>เงินรายได้</t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</si>
  <si>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</si>
  <si>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</si>
  <si>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</si>
  <si>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</si>
  <si>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</si>
  <si>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</si>
  <si>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</si>
  <si>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</si>
  <si>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</si>
  <si>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เงินส่วนลด 6%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</si>
  <si>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</si>
  <si>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</si>
  <si>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</si>
  <si>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</si>
  <si>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</si>
  <si>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>บัญชีรายจ่ายค้างจ่าย</t>
  </si>
  <si>
    <t>เงินอุดหนุนค้างจ่าย(หมายเหตุ 1)</t>
  </si>
  <si>
    <t>รายจ่ายค้างจ่าย (หมายเหตุ 2)</t>
  </si>
  <si>
    <t>บัญชีเงินอุดหนุนค้างจ่าย</t>
  </si>
  <si>
    <t>หมายเหตุ 4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</si>
  <si>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</si>
  <si>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</si>
  <si>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</si>
  <si>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</si>
  <si>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</si>
  <si>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</si>
  <si>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</si>
  <si>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</si>
  <si>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</si>
  <si>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</si>
  <si>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</si>
  <si>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</si>
  <si>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</si>
  <si>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</si>
  <si>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 xml:space="preserve"> เงินรับฝาก  (หมายเหตุ 3)</t>
  </si>
  <si>
    <t>รายรับ (หมายเหตุ 4)</t>
  </si>
  <si>
    <t>ค่าวัสดุ-เงินอุดหนุนทั่วไปอาหารเสริม(นม) สำหรับนักเรียนชั้น ป.5-ป.6</t>
  </si>
  <si>
    <t>เงินอุดหนุนศูนย์พัฒนาครอบครัวในชุมชน</t>
  </si>
  <si>
    <t>ค่าอาหารกลางวัน ศพด.บ้านวัดโบสถ์</t>
  </si>
  <si>
    <t>ค่าอาหารเสริม(นม)โรงเรียน</t>
  </si>
  <si>
    <t>ค่าอาหารเสริม(นม)ศูนย์พัฒนาเด็กเล็ก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</si>
  <si>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</si>
  <si>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</si>
  <si>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</si>
  <si>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ค่าธรรมเนียมการขออนุญาตติดตั้งประปา</t>
  </si>
  <si>
    <t>ค่าบำรุงรักษามาตรวัดน้ำ</t>
  </si>
  <si>
    <t>รายได้จากการจำหน่ายน้ำ</t>
  </si>
  <si>
    <t>เงินอุดหนุนเฉพาะกิจ-โครงการก่อสร้างถนนคสล.ม.6</t>
  </si>
  <si>
    <t>ปีงบประมาณ  2553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</si>
  <si>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</si>
  <si>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</si>
  <si>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</si>
  <si>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</si>
  <si>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</si>
  <si>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</si>
  <si>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</si>
  <si>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</si>
  <si>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</si>
  <si>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</si>
  <si>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</si>
  <si>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</si>
  <si>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</si>
  <si>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</si>
  <si>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140000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</si>
  <si>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</si>
  <si>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</si>
  <si>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</si>
  <si>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</si>
  <si>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</si>
  <si>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</si>
  <si>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</si>
  <si>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</si>
  <si>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</si>
  <si>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</si>
  <si>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</si>
  <si>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</si>
  <si>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</si>
  <si>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</si>
  <si>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</si>
  <si>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(ลงชื่อ)………………………..                            (ลงชื่อ)………………………..              (ลงชื่อ)……………………………</t>
  </si>
  <si>
    <t xml:space="preserve">        (นายวรรณรัตน์  มณีโชติ)                                    (นายจิราวุธ  กรเพชร)                              (นายวรรณชาติ  ยอดแก้ว)</t>
  </si>
  <si>
    <t xml:space="preserve">       หัวหน้าส่วนการคลัง                                     ปลัดองค์การบริหารส่วนตำบล           นายกองค์การบริหารส่วนตำบลเกาะทวด</t>
  </si>
  <si>
    <t>รับเงินอุดหนุนระบุวัตถุประสงค์</t>
  </si>
  <si>
    <t>จ่ายจากเงินอุดหนุนระบุวัตถุประสงค์</t>
  </si>
  <si>
    <t>110700</t>
  </si>
  <si>
    <t>110800</t>
  </si>
  <si>
    <t>110000</t>
  </si>
  <si>
    <t>111100</t>
  </si>
  <si>
    <t>111200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</si>
  <si>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</si>
  <si>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</si>
  <si>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</si>
  <si>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</si>
  <si>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</si>
  <si>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</si>
  <si>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</si>
  <si>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(นายวรรณรัตน์   มณีโชติ)</t>
  </si>
  <si>
    <t>ลูกหนี้เงินยืมเงินงบประมาณ</t>
  </si>
  <si>
    <t>เงินอุดหนุนเฉพาะกิจ-สงเคราะห์เบี้ยยังชีพคนชรา</t>
  </si>
  <si>
    <t>110609</t>
  </si>
  <si>
    <t>ต้นปี</t>
  </si>
  <si>
    <t>รับลูกหนี้เงินยืม-เงินงบประมาณ</t>
  </si>
  <si>
    <t>รับลูกหนี้เงินยืม-เงินนอกงบประมาณ</t>
  </si>
  <si>
    <t>จ่ายลูกหนี้เงินยืม-เงินงบประมาณ</t>
  </si>
  <si>
    <t>จ่ายลูกหนี้เงินยืม-เงินนอกงบประมาณ</t>
  </si>
  <si>
    <t>26 พ.ย. 52</t>
  </si>
  <si>
    <t>1932740</t>
  </si>
  <si>
    <t>วันที่ 31 ธ.ค.52</t>
  </si>
  <si>
    <t>541000</t>
  </si>
  <si>
    <t>รายจ่ายอื่น ๆ</t>
  </si>
  <si>
    <t>ค่าภาคหลวงแร่</t>
  </si>
  <si>
    <t>ค่าภาคหลวงปิโตรเลียม</t>
  </si>
  <si>
    <t>เงินอุดหนุนทั่วไปเพื่อสนับสนุนการกระจายอำนาจให้แก่ อปท.</t>
  </si>
  <si>
    <t>เงินอุดหนุนเฉพาะกิจ-สนับสนุนศูนย์พัฒนาเด็กเล็ก</t>
  </si>
  <si>
    <t>รับฝาก (หมายเหตุ 3)</t>
  </si>
  <si>
    <r>
      <t>รายรับ</t>
    </r>
    <r>
      <rPr>
        <b/>
        <sz val="16"/>
        <rFont val="Angsana New"/>
        <family val="1"/>
      </rPr>
      <t xml:space="preserve">  (หมายเหตุ 4)</t>
    </r>
  </si>
  <si>
    <t>ยอดคงเหลือตามรายงานธนาคาร ณ วันที่ 31  ธันวาคม  2552</t>
  </si>
  <si>
    <r>
      <t>ยอดคงเหลือตามบัญชี ณ วันที่</t>
    </r>
    <r>
      <rPr>
        <sz val="16"/>
        <rFont val="Cordia New"/>
        <family val="2"/>
      </rPr>
      <t xml:space="preserve">  31  ธันวาคม  2552</t>
    </r>
  </si>
  <si>
    <t>0059876</t>
  </si>
  <si>
    <t>ลำดับ</t>
  </si>
  <si>
    <t>ภาษีโรงเรือนและที่ดิน</t>
  </si>
  <si>
    <t>จ่ายจากเงินอุดหนุนค้างจ่าย</t>
  </si>
  <si>
    <t>ประจำเดือนมกราคม  2553</t>
  </si>
  <si>
    <t>510000 งบกลาง</t>
  </si>
  <si>
    <t>521000  เงินเดือน(ฝ่ายการเมือง)</t>
  </si>
  <si>
    <t>522000เงินเดือน (ฝ่ายประจำ)</t>
  </si>
  <si>
    <t>531000ค่าตอบแทน</t>
  </si>
  <si>
    <t>532000 ค่าใช้สอย</t>
  </si>
  <si>
    <t>533000 ค่าวัสดุ</t>
  </si>
  <si>
    <t>541000 ค่าครุภัณฑ์</t>
  </si>
  <si>
    <t>542000 ค่าที่ดินและสิ่งก่อสร้าง</t>
  </si>
  <si>
    <t>561000 เงินอุดหนุน</t>
  </si>
  <si>
    <t>551000 รายจ่ายอื่นๆ</t>
  </si>
  <si>
    <t>ประจำเดือนกุมภาพันธ์   พ.ศ. 2553</t>
  </si>
  <si>
    <t>ณ วันที่  28  กุมภาพันธ์  2553</t>
  </si>
  <si>
    <t xml:space="preserve"> ณ วันที่  28  กุมภาพันธ์  2553</t>
  </si>
  <si>
    <t xml:space="preserve"> ณ วันที่ 28  กุมภาพันธ์  2553</t>
  </si>
  <si>
    <t>ภาษีป้าย</t>
  </si>
  <si>
    <t>ค่าธรรมเนียมเกี่ยวกับใบอนุญาตการขายสุรา</t>
  </si>
  <si>
    <t>ค่าขายแบบแปลน</t>
  </si>
  <si>
    <t>ยอดเงินคงเหลือ ณ วันที่  28 กุมภาพันธ์  2553</t>
  </si>
  <si>
    <t>เพียงวันที่     28  กุมภาพันธ์  2553</t>
  </si>
  <si>
    <t>รับคืนเงินเดือน(ฝ่ายการเมือง)</t>
  </si>
  <si>
    <t>จ่ายจากเงินสะสม</t>
  </si>
  <si>
    <t>ยอดคงเหลือตามรายงานธนาคาร ณ วันที่  28  กุมภาพันธ์  2553</t>
  </si>
  <si>
    <t>ยอดคงเหลือตามบัญชี ณ วันที่ 28 กุมภาพันธ์   2553</t>
  </si>
  <si>
    <t>วันที่ 28 ก.พ. 53</t>
  </si>
  <si>
    <t>22  ก.พ.  53</t>
  </si>
  <si>
    <t>1936269</t>
  </si>
  <si>
    <t>1936270</t>
  </si>
  <si>
    <t>1936281</t>
  </si>
  <si>
    <t>ประจำเดือนกุมภาพันธ์  2553</t>
  </si>
  <si>
    <r>
      <t xml:space="preserve">534000 </t>
    </r>
    <r>
      <rPr>
        <sz val="12"/>
        <rFont val="Cordia New"/>
        <family val="2"/>
      </rPr>
      <t>ค่าสาธารณูปโภค</t>
    </r>
  </si>
  <si>
    <r>
      <t xml:space="preserve">534000 </t>
    </r>
    <r>
      <rPr>
        <sz val="12"/>
        <rFont val="Angsana New"/>
        <family val="1"/>
      </rPr>
      <t>ค่าสาธารณูปโภค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</si>
</sst>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;[Red]0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[$-41E]d\ mmmm\ yyyy"/>
    <numFmt numFmtId="205" formatCode="[$-107041E]d\ mmm\ yy;@"/>
    <numFmt numFmtId="206" formatCode="ว\ \ ดด\ \ ปป"/>
    <numFmt numFmtId="207" formatCode="[&lt;=9999999][$-D000000]###\-####;[$-D000000]\(0#\)\ ###\-####"/>
    <numFmt numFmtId="208" formatCode="0.000"/>
    <numFmt numFmtId="209" formatCode="0.0000"/>
    <numFmt numFmtId="210" formatCode="0#"/>
    <numFmt numFmtId="211" formatCode="_-* #,##0.000_-;\-* #,##0.000_-;_-* &quot;-&quot;??_-;_-@_-"/>
    <numFmt numFmtId="212" formatCode="#,##0.00_ ;\-#,##0.00\ "/>
    <numFmt numFmtId="213" formatCode="#,##0.00;[Red]#,##0.00"/>
    <numFmt numFmtId="214" formatCode="[$-F800]dddd\,\ mmmm\ dd\,\ yyyy"/>
  </numFmts>
  <fonts count="42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16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color indexed="55"/>
      <name val="Angsana New"/>
      <family val="1"/>
    </font>
    <font>
      <sz val="16"/>
      <color indexed="55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16"/>
      <color indexed="23"/>
      <name val="Angsana New"/>
      <family val="1"/>
    </font>
    <font>
      <sz val="8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43" fontId="4" fillId="0" borderId="7" xfId="0" applyNumberFormat="1" applyFont="1" applyBorder="1" applyAlignment="1">
      <alignment/>
    </xf>
    <xf numFmtId="43" fontId="4" fillId="0" borderId="3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43" fontId="4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9" xfId="0" applyNumberFormat="1" applyFont="1" applyBorder="1" applyAlignment="1">
      <alignment horizontal="right"/>
    </xf>
    <xf numFmtId="43" fontId="4" fillId="0" borderId="7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0" fillId="0" borderId="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6" xfId="0" applyNumberFormat="1" applyFont="1" applyBorder="1" applyAlignment="1">
      <alignment/>
    </xf>
    <xf numFmtId="43" fontId="8" fillId="0" borderId="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6" xfId="0" applyFont="1" applyBorder="1" applyAlignment="1">
      <alignment/>
    </xf>
    <xf numFmtId="43" fontId="13" fillId="0" borderId="6" xfId="0" applyNumberFormat="1" applyFont="1" applyBorder="1" applyAlignment="1">
      <alignment horizontal="right"/>
    </xf>
    <xf numFmtId="43" fontId="13" fillId="0" borderId="6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7" xfId="0" applyFont="1" applyBorder="1" applyAlignment="1">
      <alignment/>
    </xf>
    <xf numFmtId="43" fontId="16" fillId="0" borderId="6" xfId="0" applyNumberFormat="1" applyFont="1" applyBorder="1" applyAlignment="1">
      <alignment horizontal="right"/>
    </xf>
    <xf numFmtId="43" fontId="16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43" fontId="16" fillId="0" borderId="0" xfId="0" applyNumberFormat="1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6" fillId="0" borderId="20" xfId="0" applyNumberFormat="1" applyFont="1" applyBorder="1" applyAlignment="1">
      <alignment horizontal="right"/>
    </xf>
    <xf numFmtId="43" fontId="17" fillId="0" borderId="2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49" fontId="15" fillId="0" borderId="2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24" xfId="0" applyFont="1" applyBorder="1" applyAlignment="1">
      <alignment horizontal="center"/>
    </xf>
    <xf numFmtId="3" fontId="15" fillId="0" borderId="23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/>
    </xf>
    <xf numFmtId="210" fontId="15" fillId="0" borderId="24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15" fillId="0" borderId="25" xfId="0" applyNumberFormat="1" applyFont="1" applyBorder="1" applyAlignment="1">
      <alignment/>
    </xf>
    <xf numFmtId="210" fontId="15" fillId="0" borderId="26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3" fontId="15" fillId="0" borderId="23" xfId="0" applyNumberFormat="1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3" fontId="15" fillId="0" borderId="30" xfId="0" applyNumberFormat="1" applyFont="1" applyBorder="1" applyAlignment="1">
      <alignment/>
    </xf>
    <xf numFmtId="210" fontId="15" fillId="0" borderId="28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24" xfId="0" applyFont="1" applyBorder="1" applyAlignment="1">
      <alignment/>
    </xf>
    <xf numFmtId="3" fontId="15" fillId="0" borderId="5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/>
    </xf>
    <xf numFmtId="210" fontId="15" fillId="0" borderId="3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27" xfId="0" applyFont="1" applyBorder="1" applyAlignment="1">
      <alignment/>
    </xf>
    <xf numFmtId="0" fontId="21" fillId="0" borderId="1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43" fontId="15" fillId="0" borderId="26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28" xfId="0" applyFont="1" applyBorder="1" applyAlignment="1">
      <alignment/>
    </xf>
    <xf numFmtId="210" fontId="15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9" fillId="0" borderId="4" xfId="0" applyFont="1" applyBorder="1" applyAlignment="1">
      <alignment horizontal="center"/>
    </xf>
    <xf numFmtId="43" fontId="15" fillId="0" borderId="0" xfId="17" applyFont="1" applyAlignment="1">
      <alignment/>
    </xf>
    <xf numFmtId="210" fontId="15" fillId="0" borderId="29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94" fontId="15" fillId="0" borderId="2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8" fillId="0" borderId="4" xfId="17" applyFont="1" applyBorder="1" applyAlignment="1">
      <alignment horizontal="right"/>
    </xf>
    <xf numFmtId="43" fontId="18" fillId="0" borderId="0" xfId="17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 horizontal="right"/>
    </xf>
    <xf numFmtId="43" fontId="15" fillId="0" borderId="0" xfId="17" applyFont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43" fontId="28" fillId="0" borderId="0" xfId="17" applyFont="1" applyBorder="1" applyAlignment="1">
      <alignment/>
    </xf>
    <xf numFmtId="0" fontId="2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43" fontId="13" fillId="0" borderId="7" xfId="0" applyNumberFormat="1" applyFont="1" applyBorder="1" applyAlignment="1">
      <alignment/>
    </xf>
    <xf numFmtId="43" fontId="13" fillId="0" borderId="3" xfId="0" applyNumberFormat="1" applyFont="1" applyBorder="1" applyAlignment="1">
      <alignment/>
    </xf>
    <xf numFmtId="43" fontId="13" fillId="0" borderId="8" xfId="0" applyNumberFormat="1" applyFont="1" applyBorder="1" applyAlignment="1">
      <alignment/>
    </xf>
    <xf numFmtId="43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6" xfId="0" applyNumberFormat="1" applyFont="1" applyBorder="1" applyAlignment="1">
      <alignment horizontal="right"/>
    </xf>
    <xf numFmtId="43" fontId="14" fillId="0" borderId="6" xfId="0" applyNumberFormat="1" applyFont="1" applyBorder="1" applyAlignment="1">
      <alignment horizontal="right"/>
    </xf>
    <xf numFmtId="43" fontId="14" fillId="0" borderId="6" xfId="0" applyNumberFormat="1" applyFont="1" applyBorder="1" applyAlignment="1">
      <alignment/>
    </xf>
    <xf numFmtId="43" fontId="14" fillId="0" borderId="9" xfId="0" applyNumberFormat="1" applyFont="1" applyBorder="1" applyAlignment="1">
      <alignment/>
    </xf>
    <xf numFmtId="0" fontId="13" fillId="0" borderId="6" xfId="0" applyFont="1" applyBorder="1" applyAlignment="1">
      <alignment/>
    </xf>
    <xf numFmtId="43" fontId="13" fillId="0" borderId="6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" xfId="0" applyFont="1" applyBorder="1" applyAlignment="1">
      <alignment horizontal="left"/>
    </xf>
    <xf numFmtId="43" fontId="13" fillId="0" borderId="6" xfId="0" applyNumberFormat="1" applyFont="1" applyBorder="1" applyAlignment="1">
      <alignment/>
    </xf>
    <xf numFmtId="43" fontId="13" fillId="0" borderId="9" xfId="0" applyNumberFormat="1" applyFont="1" applyBorder="1" applyAlignment="1">
      <alignment/>
    </xf>
    <xf numFmtId="0" fontId="14" fillId="0" borderId="6" xfId="0" applyFont="1" applyBorder="1" applyAlignment="1">
      <alignment/>
    </xf>
    <xf numFmtId="43" fontId="13" fillId="0" borderId="9" xfId="0" applyNumberFormat="1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43" fontId="13" fillId="0" borderId="7" xfId="0" applyNumberFormat="1" applyFont="1" applyBorder="1" applyAlignment="1">
      <alignment horizontal="right"/>
    </xf>
    <xf numFmtId="43" fontId="13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43" fontId="14" fillId="0" borderId="6" xfId="0" applyNumberFormat="1" applyFont="1" applyBorder="1" applyAlignment="1">
      <alignment horizontal="center"/>
    </xf>
    <xf numFmtId="43" fontId="13" fillId="0" borderId="2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1" fillId="0" borderId="0" xfId="0" applyFont="1" applyBorder="1" applyAlignment="1">
      <alignment/>
    </xf>
    <xf numFmtId="43" fontId="32" fillId="0" borderId="0" xfId="17" applyFont="1" applyBorder="1" applyAlignment="1">
      <alignment/>
    </xf>
    <xf numFmtId="0" fontId="32" fillId="0" borderId="0" xfId="0" applyFont="1" applyBorder="1" applyAlignment="1">
      <alignment horizontal="right"/>
    </xf>
    <xf numFmtId="43" fontId="19" fillId="0" borderId="0" xfId="17" applyFont="1" applyAlignment="1">
      <alignment/>
    </xf>
    <xf numFmtId="43" fontId="17" fillId="0" borderId="0" xfId="17" applyFont="1" applyAlignment="1">
      <alignment/>
    </xf>
    <xf numFmtId="43" fontId="14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9" fillId="0" borderId="0" xfId="0" applyFont="1" applyAlignment="1">
      <alignment/>
    </xf>
    <xf numFmtId="0" fontId="20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43" fontId="20" fillId="0" borderId="22" xfId="17" applyFont="1" applyBorder="1" applyAlignment="1">
      <alignment/>
    </xf>
    <xf numFmtId="0" fontId="20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43" fontId="20" fillId="0" borderId="7" xfId="17" applyFont="1" applyBorder="1" applyAlignment="1">
      <alignment/>
    </xf>
    <xf numFmtId="0" fontId="25" fillId="0" borderId="6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3" fontId="20" fillId="0" borderId="35" xfId="17" applyFont="1" applyBorder="1" applyAlignment="1">
      <alignment/>
    </xf>
    <xf numFmtId="43" fontId="20" fillId="0" borderId="25" xfId="0" applyNumberFormat="1" applyFont="1" applyBorder="1" applyAlignment="1">
      <alignment/>
    </xf>
    <xf numFmtId="43" fontId="20" fillId="0" borderId="0" xfId="0" applyNumberFormat="1" applyFont="1" applyBorder="1" applyAlignment="1">
      <alignment/>
    </xf>
    <xf numFmtId="0" fontId="26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3" fontId="25" fillId="0" borderId="22" xfId="17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5" fillId="0" borderId="7" xfId="0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43" fontId="25" fillId="0" borderId="35" xfId="17" applyFont="1" applyBorder="1" applyAlignment="1">
      <alignment horizontal="right"/>
    </xf>
    <xf numFmtId="0" fontId="25" fillId="0" borderId="35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43" fontId="25" fillId="0" borderId="25" xfId="0" applyNumberFormat="1" applyFont="1" applyBorder="1" applyAlignment="1">
      <alignment horizontal="center"/>
    </xf>
    <xf numFmtId="43" fontId="25" fillId="0" borderId="36" xfId="17" applyFont="1" applyBorder="1" applyAlignment="1">
      <alignment horizontal="right"/>
    </xf>
    <xf numFmtId="43" fontId="25" fillId="0" borderId="37" xfId="17" applyFont="1" applyBorder="1" applyAlignment="1">
      <alignment horizontal="center"/>
    </xf>
    <xf numFmtId="43" fontId="25" fillId="0" borderId="6" xfId="17" applyFont="1" applyBorder="1" applyAlignment="1">
      <alignment horizontal="center"/>
    </xf>
    <xf numFmtId="43" fontId="25" fillId="0" borderId="36" xfId="17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43" fontId="25" fillId="0" borderId="6" xfId="0" applyNumberFormat="1" applyFont="1" applyBorder="1" applyAlignment="1">
      <alignment horizontal="center"/>
    </xf>
    <xf numFmtId="43" fontId="24" fillId="0" borderId="0" xfId="17" applyFont="1" applyAlignment="1">
      <alignment/>
    </xf>
    <xf numFmtId="43" fontId="19" fillId="0" borderId="0" xfId="17" applyFont="1" applyAlignment="1">
      <alignment horizontal="center"/>
    </xf>
    <xf numFmtId="41" fontId="15" fillId="0" borderId="4" xfId="0" applyNumberFormat="1" applyFont="1" applyBorder="1" applyAlignment="1">
      <alignment horizontal="right"/>
    </xf>
    <xf numFmtId="41" fontId="15" fillId="0" borderId="4" xfId="0" applyNumberFormat="1" applyFont="1" applyBorder="1" applyAlignment="1">
      <alignment horizontal="center"/>
    </xf>
    <xf numFmtId="41" fontId="15" fillId="0" borderId="0" xfId="0" applyNumberFormat="1" applyFont="1" applyAlignment="1">
      <alignment horizontal="center"/>
    </xf>
    <xf numFmtId="41" fontId="15" fillId="0" borderId="5" xfId="0" applyNumberFormat="1" applyFont="1" applyBorder="1" applyAlignment="1">
      <alignment horizontal="center"/>
    </xf>
    <xf numFmtId="41" fontId="15" fillId="0" borderId="4" xfId="0" applyNumberFormat="1" applyFont="1" applyBorder="1" applyAlignment="1">
      <alignment/>
    </xf>
    <xf numFmtId="41" fontId="15" fillId="0" borderId="23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43" fontId="15" fillId="0" borderId="38" xfId="17" applyFont="1" applyBorder="1" applyAlignment="1">
      <alignment/>
    </xf>
    <xf numFmtId="43" fontId="15" fillId="0" borderId="39" xfId="17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22" xfId="0" applyFont="1" applyBorder="1" applyAlignment="1">
      <alignment horizontal="left" vertical="center"/>
    </xf>
    <xf numFmtId="49" fontId="35" fillId="0" borderId="22" xfId="0" applyNumberFormat="1" applyFont="1" applyBorder="1" applyAlignment="1">
      <alignment horizontal="center" vertical="center"/>
    </xf>
    <xf numFmtId="41" fontId="35" fillId="0" borderId="40" xfId="0" applyNumberFormat="1" applyFont="1" applyBorder="1" applyAlignment="1">
      <alignment horizontal="right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49" fontId="35" fillId="0" borderId="22" xfId="0" applyNumberFormat="1" applyFont="1" applyBorder="1" applyAlignment="1">
      <alignment horizontal="center"/>
    </xf>
    <xf numFmtId="3" fontId="35" fillId="0" borderId="44" xfId="0" applyNumberFormat="1" applyFont="1" applyBorder="1" applyAlignment="1">
      <alignment/>
    </xf>
    <xf numFmtId="210" fontId="35" fillId="0" borderId="45" xfId="0" applyNumberFormat="1" applyFont="1" applyBorder="1" applyAlignment="1">
      <alignment horizontal="center"/>
    </xf>
    <xf numFmtId="3" fontId="35" fillId="0" borderId="44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3" fontId="35" fillId="0" borderId="44" xfId="0" applyNumberFormat="1" applyFont="1" applyBorder="1" applyAlignment="1">
      <alignment horizontal="right"/>
    </xf>
    <xf numFmtId="210" fontId="35" fillId="0" borderId="46" xfId="0" applyNumberFormat="1" applyFont="1" applyBorder="1" applyAlignment="1">
      <alignment horizontal="center"/>
    </xf>
    <xf numFmtId="210" fontId="35" fillId="0" borderId="47" xfId="0" applyNumberFormat="1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3" fontId="35" fillId="0" borderId="48" xfId="0" applyNumberFormat="1" applyFont="1" applyBorder="1" applyAlignment="1">
      <alignment/>
    </xf>
    <xf numFmtId="210" fontId="35" fillId="0" borderId="49" xfId="0" applyNumberFormat="1" applyFont="1" applyBorder="1" applyAlignment="1">
      <alignment horizontal="center"/>
    </xf>
    <xf numFmtId="0" fontId="36" fillId="0" borderId="22" xfId="0" applyFont="1" applyBorder="1" applyAlignment="1">
      <alignment/>
    </xf>
    <xf numFmtId="3" fontId="35" fillId="0" borderId="48" xfId="0" applyNumberFormat="1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7" xfId="0" applyFont="1" applyBorder="1" applyAlignment="1">
      <alignment/>
    </xf>
    <xf numFmtId="49" fontId="35" fillId="0" borderId="7" xfId="0" applyNumberFormat="1" applyFont="1" applyBorder="1" applyAlignment="1">
      <alignment horizontal="center"/>
    </xf>
    <xf numFmtId="3" fontId="35" fillId="0" borderId="48" xfId="0" applyNumberFormat="1" applyFont="1" applyBorder="1" applyAlignment="1">
      <alignment horizontal="right"/>
    </xf>
    <xf numFmtId="0" fontId="35" fillId="0" borderId="4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3" fontId="35" fillId="0" borderId="50" xfId="0" applyNumberFormat="1" applyFont="1" applyBorder="1" applyAlignment="1">
      <alignment/>
    </xf>
    <xf numFmtId="210" fontId="35" fillId="0" borderId="39" xfId="0" applyNumberFormat="1" applyFont="1" applyBorder="1" applyAlignment="1">
      <alignment horizontal="center"/>
    </xf>
    <xf numFmtId="210" fontId="35" fillId="0" borderId="51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210" fontId="35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15" fillId="0" borderId="39" xfId="17" applyNumberFormat="1" applyFont="1" applyBorder="1" applyAlignment="1">
      <alignment/>
    </xf>
    <xf numFmtId="43" fontId="13" fillId="0" borderId="20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43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3" fontId="4" fillId="0" borderId="21" xfId="0" applyNumberFormat="1" applyFont="1" applyBorder="1" applyAlignment="1">
      <alignment horizontal="right"/>
    </xf>
    <xf numFmtId="43" fontId="4" fillId="0" borderId="20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2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25" fillId="0" borderId="52" xfId="17" applyFont="1" applyBorder="1" applyAlignment="1">
      <alignment horizontal="right"/>
    </xf>
    <xf numFmtId="43" fontId="19" fillId="0" borderId="0" xfId="0" applyNumberFormat="1" applyFont="1" applyAlignment="1">
      <alignment/>
    </xf>
    <xf numFmtId="43" fontId="17" fillId="0" borderId="6" xfId="0" applyNumberFormat="1" applyFont="1" applyBorder="1" applyAlignment="1">
      <alignment/>
    </xf>
    <xf numFmtId="0" fontId="26" fillId="0" borderId="3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14" fontId="2" fillId="0" borderId="0" xfId="0" applyNumberFormat="1" applyFont="1" applyAlignment="1">
      <alignment/>
    </xf>
    <xf numFmtId="43" fontId="16" fillId="0" borderId="7" xfId="0" applyNumberFormat="1" applyFont="1" applyBorder="1" applyAlignment="1">
      <alignment/>
    </xf>
    <xf numFmtId="43" fontId="32" fillId="0" borderId="0" xfId="17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20" fillId="0" borderId="25" xfId="0" applyFont="1" applyBorder="1" applyAlignment="1">
      <alignment/>
    </xf>
    <xf numFmtId="43" fontId="15" fillId="0" borderId="25" xfId="17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 horizontal="center"/>
    </xf>
    <xf numFmtId="43" fontId="15" fillId="0" borderId="21" xfId="17" applyFont="1" applyBorder="1" applyAlignment="1">
      <alignment/>
    </xf>
    <xf numFmtId="0" fontId="15" fillId="0" borderId="22" xfId="0" applyFont="1" applyBorder="1" applyAlignment="1">
      <alignment/>
    </xf>
    <xf numFmtId="43" fontId="15" fillId="0" borderId="22" xfId="17" applyFont="1" applyBorder="1" applyAlignment="1">
      <alignment/>
    </xf>
    <xf numFmtId="43" fontId="20" fillId="0" borderId="25" xfId="17" applyFont="1" applyBorder="1" applyAlignment="1">
      <alignment/>
    </xf>
    <xf numFmtId="43" fontId="25" fillId="0" borderId="20" xfId="17" applyFont="1" applyBorder="1" applyAlignment="1">
      <alignment horizontal="center"/>
    </xf>
    <xf numFmtId="43" fontId="25" fillId="0" borderId="0" xfId="17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5" fillId="0" borderId="5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left"/>
    </xf>
    <xf numFmtId="43" fontId="25" fillId="0" borderId="6" xfId="17" applyFont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5" fillId="0" borderId="0" xfId="0" applyFont="1" applyAlignment="1">
      <alignment horizontal="center"/>
    </xf>
    <xf numFmtId="43" fontId="32" fillId="0" borderId="0" xfId="17" applyFont="1" applyBorder="1" applyAlignment="1">
      <alignment horizontal="center"/>
    </xf>
    <xf numFmtId="0" fontId="22" fillId="0" borderId="56" xfId="0" applyFont="1" applyBorder="1" applyAlignment="1">
      <alignment horizontal="right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18" fillId="0" borderId="5" xfId="17" applyFont="1" applyBorder="1" applyAlignment="1">
      <alignment horizontal="right"/>
    </xf>
    <xf numFmtId="43" fontId="18" fillId="0" borderId="2" xfId="17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18" fillId="0" borderId="57" xfId="17" applyFont="1" applyBorder="1" applyAlignment="1">
      <alignment horizontal="right"/>
    </xf>
    <xf numFmtId="43" fontId="18" fillId="0" borderId="2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4" xfId="17" applyFont="1" applyBorder="1" applyAlignment="1">
      <alignment horizontal="right"/>
    </xf>
    <xf numFmtId="43" fontId="2" fillId="0" borderId="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3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63" xfId="0" applyNumberFormat="1" applyFont="1" applyBorder="1" applyAlignment="1">
      <alignment horizontal="center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3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63" xfId="0" applyNumberFormat="1" applyFont="1" applyBorder="1" applyAlignment="1">
      <alignment horizontal="center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3" fontId="0" fillId="0" borderId="7" xfId="0" applyNumberFormat="1" applyFont="1" applyBorder="1" applyAlignment="1">
      <alignment/>
    </xf>
    <xf numFmtId="43" fontId="0" fillId="0" borderId="3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43" fontId="0" fillId="0" borderId="6" xfId="0" applyNumberFormat="1" applyFont="1" applyBorder="1" applyAlignment="1">
      <alignment horizontal="right"/>
    </xf>
    <xf numFmtId="43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43" fontId="8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43" fontId="0" fillId="0" borderId="9" xfId="0" applyNumberFormat="1" applyFont="1" applyBorder="1" applyAlignment="1">
      <alignment horizontal="right"/>
    </xf>
    <xf numFmtId="43" fontId="8" fillId="0" borderId="21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0" borderId="7" xfId="0" applyNumberFormat="1" applyFont="1" applyBorder="1" applyAlignment="1">
      <alignment horizontal="right"/>
    </xf>
    <xf numFmtId="43" fontId="0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8" fillId="0" borderId="0" xfId="0" applyFont="1" applyBorder="1" applyAlignment="1">
      <alignment/>
    </xf>
    <xf numFmtId="43" fontId="8" fillId="0" borderId="20" xfId="0" applyNumberFormat="1" applyFont="1" applyBorder="1" applyAlignment="1">
      <alignment horizontal="right"/>
    </xf>
    <xf numFmtId="43" fontId="8" fillId="0" borderId="20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49" fontId="20" fillId="0" borderId="12" xfId="0" applyNumberFormat="1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0" fillId="0" borderId="65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4" xfId="0" applyNumberFormat="1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/>
    </xf>
    <xf numFmtId="49" fontId="20" fillId="0" borderId="7" xfId="0" applyNumberFormat="1" applyFont="1" applyBorder="1" applyAlignment="1">
      <alignment/>
    </xf>
    <xf numFmtId="43" fontId="20" fillId="0" borderId="7" xfId="0" applyNumberFormat="1" applyFont="1" applyBorder="1" applyAlignment="1">
      <alignment/>
    </xf>
    <xf numFmtId="43" fontId="20" fillId="0" borderId="3" xfId="0" applyNumberFormat="1" applyFont="1" applyBorder="1" applyAlignment="1">
      <alignment/>
    </xf>
    <xf numFmtId="43" fontId="20" fillId="0" borderId="8" xfId="0" applyNumberFormat="1" applyFont="1" applyBorder="1" applyAlignment="1">
      <alignment/>
    </xf>
    <xf numFmtId="49" fontId="20" fillId="0" borderId="6" xfId="0" applyNumberFormat="1" applyFont="1" applyBorder="1" applyAlignment="1">
      <alignment horizontal="right"/>
    </xf>
    <xf numFmtId="43" fontId="20" fillId="0" borderId="6" xfId="0" applyNumberFormat="1" applyFont="1" applyBorder="1" applyAlignment="1">
      <alignment horizontal="right"/>
    </xf>
    <xf numFmtId="43" fontId="20" fillId="0" borderId="6" xfId="0" applyNumberFormat="1" applyFont="1" applyBorder="1" applyAlignment="1">
      <alignment/>
    </xf>
    <xf numFmtId="43" fontId="20" fillId="0" borderId="9" xfId="0" applyNumberFormat="1" applyFont="1" applyBorder="1" applyAlignment="1">
      <alignment/>
    </xf>
    <xf numFmtId="0" fontId="38" fillId="0" borderId="6" xfId="0" applyFont="1" applyBorder="1" applyAlignment="1">
      <alignment/>
    </xf>
    <xf numFmtId="43" fontId="38" fillId="0" borderId="6" xfId="0" applyNumberFormat="1" applyFont="1" applyBorder="1" applyAlignment="1">
      <alignment horizontal="right"/>
    </xf>
    <xf numFmtId="43" fontId="38" fillId="0" borderId="6" xfId="0" applyNumberFormat="1" applyFont="1" applyBorder="1" applyAlignment="1">
      <alignment/>
    </xf>
    <xf numFmtId="0" fontId="38" fillId="0" borderId="0" xfId="0" applyFont="1" applyAlignment="1">
      <alignment/>
    </xf>
    <xf numFmtId="0" fontId="20" fillId="0" borderId="6" xfId="0" applyFont="1" applyBorder="1" applyAlignment="1">
      <alignment horizontal="left"/>
    </xf>
    <xf numFmtId="43" fontId="20" fillId="0" borderId="9" xfId="0" applyNumberFormat="1" applyFont="1" applyBorder="1" applyAlignment="1">
      <alignment horizontal="right"/>
    </xf>
    <xf numFmtId="43" fontId="38" fillId="0" borderId="21" xfId="0" applyNumberFormat="1" applyFont="1" applyBorder="1" applyAlignment="1">
      <alignment horizontal="right"/>
    </xf>
    <xf numFmtId="43" fontId="20" fillId="0" borderId="7" xfId="0" applyNumberFormat="1" applyFont="1" applyBorder="1" applyAlignment="1">
      <alignment horizontal="right"/>
    </xf>
    <xf numFmtId="43" fontId="20" fillId="0" borderId="3" xfId="0" applyNumberFormat="1" applyFont="1" applyBorder="1" applyAlignment="1">
      <alignment horizontal="right"/>
    </xf>
    <xf numFmtId="0" fontId="38" fillId="0" borderId="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43" fontId="38" fillId="0" borderId="0" xfId="0" applyNumberFormat="1" applyFont="1" applyBorder="1" applyAlignment="1">
      <alignment horizontal="right"/>
    </xf>
    <xf numFmtId="43" fontId="20" fillId="0" borderId="20" xfId="0" applyNumberFormat="1" applyFont="1" applyBorder="1" applyAlignment="1">
      <alignment horizontal="center"/>
    </xf>
    <xf numFmtId="43" fontId="20" fillId="0" borderId="0" xfId="0" applyNumberFormat="1" applyFont="1" applyBorder="1" applyAlignment="1">
      <alignment horizontal="right"/>
    </xf>
    <xf numFmtId="43" fontId="38" fillId="0" borderId="0" xfId="0" applyNumberFormat="1" applyFont="1" applyBorder="1" applyAlignment="1">
      <alignment/>
    </xf>
    <xf numFmtId="43" fontId="39" fillId="0" borderId="0" xfId="0" applyNumberFormat="1" applyFont="1" applyBorder="1" applyAlignment="1">
      <alignment horizontal="right"/>
    </xf>
    <xf numFmtId="43" fontId="20" fillId="0" borderId="0" xfId="0" applyNumberFormat="1" applyFont="1" applyBorder="1" applyAlignment="1">
      <alignment horizontal="center"/>
    </xf>
    <xf numFmtId="43" fontId="39" fillId="0" borderId="0" xfId="0" applyNumberFormat="1" applyFont="1" applyBorder="1" applyAlignment="1">
      <alignment/>
    </xf>
    <xf numFmtId="43" fontId="20" fillId="0" borderId="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6" xfId="0" applyFont="1" applyBorder="1" applyAlignment="1">
      <alignment horizontal="right"/>
    </xf>
    <xf numFmtId="0" fontId="38" fillId="0" borderId="0" xfId="0" applyFont="1" applyBorder="1" applyAlignment="1">
      <alignment/>
    </xf>
    <xf numFmtId="43" fontId="38" fillId="0" borderId="20" xfId="0" applyNumberFormat="1" applyFont="1" applyBorder="1" applyAlignment="1">
      <alignment horizontal="right"/>
    </xf>
    <xf numFmtId="43" fontId="38" fillId="0" borderId="20" xfId="0" applyNumberFormat="1" applyFont="1" applyBorder="1" applyAlignment="1">
      <alignment/>
    </xf>
    <xf numFmtId="0" fontId="39" fillId="0" borderId="0" xfId="0" applyFont="1" applyBorder="1" applyAlignment="1">
      <alignment/>
    </xf>
    <xf numFmtId="43" fontId="25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SheetLayoutView="100" workbookViewId="0" topLeftCell="G48">
      <selection activeCell="I57" sqref="I57"/>
    </sheetView>
  </sheetViews>
  <sheetFormatPr defaultColWidth="9.140625" defaultRowHeight="21.75"/>
  <cols>
    <col min="1" max="1" width="13.7109375" style="102" customWidth="1"/>
    <col min="2" max="2" width="6.8515625" style="102" customWidth="1"/>
    <col min="3" max="3" width="13.7109375" style="102" customWidth="1"/>
    <col min="4" max="4" width="6.8515625" style="102" customWidth="1"/>
    <col min="5" max="5" width="4.421875" style="102" customWidth="1"/>
    <col min="6" max="6" width="37.28125" style="102" customWidth="1"/>
    <col min="7" max="7" width="8.00390625" style="129" customWidth="1"/>
    <col min="8" max="8" width="13.7109375" style="102" customWidth="1"/>
    <col min="9" max="9" width="6.8515625" style="102" customWidth="1"/>
    <col min="10" max="10" width="9.140625" style="102" customWidth="1"/>
    <col min="11" max="11" width="12.7109375" style="226" bestFit="1" customWidth="1"/>
    <col min="12" max="12" width="11.8515625" style="226" customWidth="1"/>
    <col min="13" max="14" width="12.7109375" style="226" bestFit="1" customWidth="1"/>
    <col min="15" max="15" width="13.421875" style="226" customWidth="1"/>
    <col min="16" max="16" width="12.7109375" style="102" bestFit="1" customWidth="1"/>
    <col min="17" max="16384" width="9.140625" style="102" customWidth="1"/>
  </cols>
  <sheetData>
    <row r="1" spans="1:15" s="152" customFormat="1" ht="29.25">
      <c r="A1" s="356" t="s">
        <v>22</v>
      </c>
      <c r="B1" s="356"/>
      <c r="C1" s="356"/>
      <c r="D1" s="356"/>
      <c r="E1" s="356"/>
      <c r="F1" s="356"/>
      <c r="G1" s="356"/>
      <c r="H1" s="356"/>
      <c r="I1" s="356"/>
      <c r="K1" s="260"/>
      <c r="L1" s="260"/>
      <c r="M1" s="260"/>
      <c r="N1" s="260"/>
      <c r="O1" s="260"/>
    </row>
    <row r="2" spans="1:15" s="152" customFormat="1" ht="29.25">
      <c r="A2" s="356" t="s">
        <v>71</v>
      </c>
      <c r="B2" s="356"/>
      <c r="C2" s="356"/>
      <c r="D2" s="356"/>
      <c r="E2" s="356"/>
      <c r="F2" s="356"/>
      <c r="G2" s="356"/>
      <c r="H2" s="356"/>
      <c r="I2" s="356"/>
      <c r="K2" s="260"/>
      <c r="L2" s="260"/>
      <c r="M2" s="260"/>
      <c r="N2" s="260"/>
      <c r="O2" s="260"/>
    </row>
    <row r="3" spans="1:15" s="152" customFormat="1" ht="29.25">
      <c r="A3" s="153"/>
      <c r="B3" s="153"/>
      <c r="C3" s="153"/>
      <c r="D3" s="153"/>
      <c r="E3" s="153"/>
      <c r="F3" s="153"/>
      <c r="G3" s="154" t="s">
        <v>198</v>
      </c>
      <c r="I3" s="153"/>
      <c r="K3" s="260"/>
      <c r="L3" s="260"/>
      <c r="M3" s="260"/>
      <c r="N3" s="260"/>
      <c r="O3" s="260"/>
    </row>
    <row r="4" spans="1:9" ht="31.5">
      <c r="A4" s="357" t="s">
        <v>23</v>
      </c>
      <c r="B4" s="357"/>
      <c r="C4" s="357"/>
      <c r="D4" s="357"/>
      <c r="E4" s="357"/>
      <c r="F4" s="357"/>
      <c r="G4" s="357"/>
      <c r="H4" s="357"/>
      <c r="I4" s="357"/>
    </row>
    <row r="5" spans="1:15" s="152" customFormat="1" ht="30" thickBot="1">
      <c r="A5" s="155"/>
      <c r="B5" s="155"/>
      <c r="C5" s="155"/>
      <c r="D5" s="155"/>
      <c r="E5" s="155"/>
      <c r="F5" s="365" t="s">
        <v>283</v>
      </c>
      <c r="G5" s="365"/>
      <c r="H5" s="365"/>
      <c r="I5" s="155"/>
      <c r="K5" s="260"/>
      <c r="L5" s="260"/>
      <c r="M5" s="260"/>
      <c r="N5" s="260"/>
      <c r="O5" s="260"/>
    </row>
    <row r="6" spans="1:9" ht="24" thickTop="1">
      <c r="A6" s="377" t="s">
        <v>24</v>
      </c>
      <c r="B6" s="378"/>
      <c r="C6" s="378"/>
      <c r="D6" s="379"/>
      <c r="E6" s="380"/>
      <c r="F6" s="381"/>
      <c r="G6" s="139"/>
      <c r="H6" s="377" t="s">
        <v>25</v>
      </c>
      <c r="I6" s="379"/>
    </row>
    <row r="7" spans="1:9" ht="23.25">
      <c r="A7" s="372" t="s">
        <v>26</v>
      </c>
      <c r="B7" s="373"/>
      <c r="C7" s="367" t="s">
        <v>27</v>
      </c>
      <c r="D7" s="368"/>
      <c r="E7" s="366" t="s">
        <v>28</v>
      </c>
      <c r="F7" s="367"/>
      <c r="G7" s="105" t="s">
        <v>29</v>
      </c>
      <c r="H7" s="366" t="s">
        <v>27</v>
      </c>
      <c r="I7" s="368"/>
    </row>
    <row r="8" spans="1:9" ht="24" thickBot="1">
      <c r="A8" s="360" t="s">
        <v>30</v>
      </c>
      <c r="B8" s="361"/>
      <c r="C8" s="362" t="s">
        <v>30</v>
      </c>
      <c r="D8" s="361"/>
      <c r="E8" s="360"/>
      <c r="F8" s="362"/>
      <c r="G8" s="140" t="s">
        <v>31</v>
      </c>
      <c r="H8" s="360" t="s">
        <v>30</v>
      </c>
      <c r="I8" s="361"/>
    </row>
    <row r="9" spans="1:9" ht="24" thickTop="1">
      <c r="A9" s="149"/>
      <c r="B9" s="150"/>
      <c r="C9" s="148">
        <v>4837463</v>
      </c>
      <c r="D9" s="131">
        <v>19</v>
      </c>
      <c r="E9" s="141" t="s">
        <v>32</v>
      </c>
      <c r="F9" s="142"/>
      <c r="G9" s="139"/>
      <c r="H9" s="115">
        <v>5769042</v>
      </c>
      <c r="I9" s="131">
        <v>44</v>
      </c>
    </row>
    <row r="10" spans="1:9" ht="23.25">
      <c r="A10" s="132"/>
      <c r="B10" s="133"/>
      <c r="C10" s="132"/>
      <c r="D10" s="114"/>
      <c r="E10" s="110" t="s">
        <v>265</v>
      </c>
      <c r="F10" s="143"/>
      <c r="G10" s="105"/>
      <c r="H10" s="132"/>
      <c r="I10" s="114"/>
    </row>
    <row r="11" spans="1:9" ht="23.25">
      <c r="A11" s="115">
        <v>8465500</v>
      </c>
      <c r="B11" s="114" t="s">
        <v>70</v>
      </c>
      <c r="C11" s="115">
        <v>3428229</v>
      </c>
      <c r="D11" s="117">
        <v>26</v>
      </c>
      <c r="F11" s="111" t="s">
        <v>33</v>
      </c>
      <c r="G11" s="105" t="s">
        <v>199</v>
      </c>
      <c r="H11" s="116">
        <v>396150</v>
      </c>
      <c r="I11" s="114">
        <v>80</v>
      </c>
    </row>
    <row r="12" spans="1:9" ht="23.25">
      <c r="A12" s="116">
        <v>51300</v>
      </c>
      <c r="B12" s="114" t="s">
        <v>70</v>
      </c>
      <c r="C12" s="116">
        <v>40735</v>
      </c>
      <c r="D12" s="114">
        <v>35</v>
      </c>
      <c r="F12" s="111" t="s">
        <v>34</v>
      </c>
      <c r="G12" s="105" t="s">
        <v>200</v>
      </c>
      <c r="H12" s="116">
        <v>15780</v>
      </c>
      <c r="I12" s="114">
        <v>35</v>
      </c>
    </row>
    <row r="13" spans="1:9" ht="23.25">
      <c r="A13" s="116">
        <v>32000</v>
      </c>
      <c r="B13" s="114" t="s">
        <v>70</v>
      </c>
      <c r="C13" s="262">
        <v>0</v>
      </c>
      <c r="D13" s="117" t="s">
        <v>70</v>
      </c>
      <c r="F13" s="111" t="s">
        <v>35</v>
      </c>
      <c r="G13" s="105" t="s">
        <v>201</v>
      </c>
      <c r="H13" s="262">
        <v>0</v>
      </c>
      <c r="I13" s="117" t="s">
        <v>70</v>
      </c>
    </row>
    <row r="14" spans="1:9" ht="23.25">
      <c r="A14" s="116">
        <v>184300</v>
      </c>
      <c r="B14" s="114" t="s">
        <v>70</v>
      </c>
      <c r="C14" s="116">
        <v>52681</v>
      </c>
      <c r="D14" s="114" t="s">
        <v>70</v>
      </c>
      <c r="F14" s="111" t="s">
        <v>36</v>
      </c>
      <c r="G14" s="105" t="s">
        <v>202</v>
      </c>
      <c r="H14" s="116">
        <v>13605</v>
      </c>
      <c r="I14" s="114" t="s">
        <v>70</v>
      </c>
    </row>
    <row r="15" spans="1:9" ht="23.25">
      <c r="A15" s="116">
        <v>75000</v>
      </c>
      <c r="B15" s="114" t="s">
        <v>70</v>
      </c>
      <c r="C15" s="262">
        <v>12100</v>
      </c>
      <c r="D15" s="114" t="s">
        <v>70</v>
      </c>
      <c r="F15" s="111" t="s">
        <v>37</v>
      </c>
      <c r="G15" s="105" t="s">
        <v>203</v>
      </c>
      <c r="H15" s="116">
        <v>11700</v>
      </c>
      <c r="I15" s="114" t="s">
        <v>70</v>
      </c>
    </row>
    <row r="16" spans="1:9" ht="23.25">
      <c r="A16" s="144" t="s">
        <v>70</v>
      </c>
      <c r="B16" s="114" t="s">
        <v>70</v>
      </c>
      <c r="C16" s="263">
        <v>0</v>
      </c>
      <c r="D16" s="114" t="s">
        <v>70</v>
      </c>
      <c r="F16" s="111" t="s">
        <v>38</v>
      </c>
      <c r="G16" s="105" t="s">
        <v>204</v>
      </c>
      <c r="H16" s="263">
        <v>0</v>
      </c>
      <c r="I16" s="114" t="s">
        <v>70</v>
      </c>
    </row>
    <row r="17" spans="1:9" ht="23.25">
      <c r="A17" s="144" t="s">
        <v>70</v>
      </c>
      <c r="B17" s="114" t="s">
        <v>70</v>
      </c>
      <c r="C17" s="263">
        <v>0</v>
      </c>
      <c r="D17" s="114" t="s">
        <v>70</v>
      </c>
      <c r="F17" s="111" t="s">
        <v>39</v>
      </c>
      <c r="G17" s="105" t="s">
        <v>205</v>
      </c>
      <c r="H17" s="264">
        <v>0</v>
      </c>
      <c r="I17" s="114" t="s">
        <v>70</v>
      </c>
    </row>
    <row r="18" spans="1:9" ht="23.25">
      <c r="A18" s="116">
        <v>8071150</v>
      </c>
      <c r="B18" s="127" t="s">
        <v>70</v>
      </c>
      <c r="C18" s="262">
        <v>5973842</v>
      </c>
      <c r="D18" s="158" t="s">
        <v>70</v>
      </c>
      <c r="F18" s="111" t="s">
        <v>146</v>
      </c>
      <c r="G18" s="105" t="s">
        <v>206</v>
      </c>
      <c r="H18" s="265">
        <v>3969516</v>
      </c>
      <c r="I18" s="158" t="s">
        <v>70</v>
      </c>
    </row>
    <row r="19" spans="1:9" ht="24" thickBot="1">
      <c r="A19" s="121">
        <f>INT(SUM(A11:A18)+SUM(B11:B18)/100)</f>
        <v>16879250</v>
      </c>
      <c r="B19" s="146">
        <f>MOD(SUM(B11:B18),100)</f>
        <v>0</v>
      </c>
      <c r="C19" s="121">
        <f>INT(SUM(C11:C18)+SUM(D11:D18)/100)</f>
        <v>9507587</v>
      </c>
      <c r="D19" s="122">
        <f>MOD(SUM(D11:D18),100)</f>
        <v>61</v>
      </c>
      <c r="G19" s="105"/>
      <c r="H19" s="121">
        <f>INT(SUM(H11:H18)+SUM(I11:I18)/100)</f>
        <v>4406752</v>
      </c>
      <c r="I19" s="122">
        <f>MOD(SUM(I11:I18),100)</f>
        <v>15</v>
      </c>
    </row>
    <row r="20" spans="1:9" ht="24" thickTop="1">
      <c r="A20" s="120"/>
      <c r="B20" s="111"/>
      <c r="C20" s="116">
        <v>4199341</v>
      </c>
      <c r="D20" s="114" t="s">
        <v>70</v>
      </c>
      <c r="F20" s="111" t="s">
        <v>211</v>
      </c>
      <c r="G20" s="105" t="s">
        <v>207</v>
      </c>
      <c r="H20" s="116">
        <v>123144</v>
      </c>
      <c r="I20" s="114" t="s">
        <v>70</v>
      </c>
    </row>
    <row r="21" spans="1:9" ht="23.25">
      <c r="A21" s="120"/>
      <c r="B21" s="111"/>
      <c r="C21" s="266">
        <v>16415</v>
      </c>
      <c r="D21" s="117">
        <v>94</v>
      </c>
      <c r="F21" s="111" t="s">
        <v>264</v>
      </c>
      <c r="G21" s="105" t="s">
        <v>183</v>
      </c>
      <c r="H21" s="116">
        <v>2149</v>
      </c>
      <c r="I21" s="117">
        <v>11</v>
      </c>
    </row>
    <row r="22" spans="1:9" ht="23.25">
      <c r="A22" s="120"/>
      <c r="B22" s="111"/>
      <c r="C22" s="262">
        <v>757352</v>
      </c>
      <c r="D22" s="114" t="s">
        <v>70</v>
      </c>
      <c r="F22" s="111" t="s">
        <v>42</v>
      </c>
      <c r="G22" s="105" t="s">
        <v>212</v>
      </c>
      <c r="H22" s="262">
        <v>169256</v>
      </c>
      <c r="I22" s="114" t="s">
        <v>70</v>
      </c>
    </row>
    <row r="23" spans="1:9" ht="23.25">
      <c r="A23" s="120"/>
      <c r="B23" s="111"/>
      <c r="C23" s="262">
        <v>1745107</v>
      </c>
      <c r="D23" s="114">
        <v>27</v>
      </c>
      <c r="F23" s="111" t="s">
        <v>143</v>
      </c>
      <c r="G23" s="105" t="s">
        <v>249</v>
      </c>
      <c r="H23" s="262">
        <v>351607</v>
      </c>
      <c r="I23" s="114">
        <v>27</v>
      </c>
    </row>
    <row r="24" spans="1:9" ht="23.25">
      <c r="A24" s="120"/>
      <c r="B24" s="111"/>
      <c r="C24" s="262">
        <v>0</v>
      </c>
      <c r="D24" s="114" t="s">
        <v>70</v>
      </c>
      <c r="F24" s="111" t="s">
        <v>123</v>
      </c>
      <c r="G24" s="105" t="s">
        <v>155</v>
      </c>
      <c r="H24" s="262">
        <v>0</v>
      </c>
      <c r="I24" s="114" t="s">
        <v>70</v>
      </c>
    </row>
    <row r="25" spans="1:9" ht="23.25">
      <c r="A25" s="120"/>
      <c r="B25" s="111"/>
      <c r="C25" s="262">
        <v>367</v>
      </c>
      <c r="D25" s="114">
        <v>74</v>
      </c>
      <c r="F25" s="111" t="s">
        <v>241</v>
      </c>
      <c r="G25" s="105" t="s">
        <v>243</v>
      </c>
      <c r="H25" s="262">
        <v>367</v>
      </c>
      <c r="I25" s="114">
        <v>74</v>
      </c>
    </row>
    <row r="26" spans="1:9" ht="23.25">
      <c r="A26" s="120"/>
      <c r="B26" s="111"/>
      <c r="C26" s="262">
        <v>0</v>
      </c>
      <c r="D26" s="114" t="s">
        <v>70</v>
      </c>
      <c r="F26" s="111" t="s">
        <v>144</v>
      </c>
      <c r="G26" s="105" t="s">
        <v>154</v>
      </c>
      <c r="H26" s="262">
        <v>0</v>
      </c>
      <c r="I26" s="114" t="s">
        <v>70</v>
      </c>
    </row>
    <row r="27" spans="1:9" ht="23.25">
      <c r="A27" s="120"/>
      <c r="B27" s="111"/>
      <c r="C27" s="262">
        <v>99990</v>
      </c>
      <c r="D27" s="117">
        <v>93</v>
      </c>
      <c r="F27" s="111" t="s">
        <v>43</v>
      </c>
      <c r="G27" s="105" t="s">
        <v>180</v>
      </c>
      <c r="H27" s="262">
        <v>0</v>
      </c>
      <c r="I27" s="114" t="s">
        <v>70</v>
      </c>
    </row>
    <row r="28" spans="1:9" ht="23.25">
      <c r="A28" s="120"/>
      <c r="B28" s="111"/>
      <c r="C28" s="262">
        <v>16775</v>
      </c>
      <c r="D28" s="117">
        <v>70</v>
      </c>
      <c r="F28" s="120" t="s">
        <v>122</v>
      </c>
      <c r="G28" s="105" t="s">
        <v>213</v>
      </c>
      <c r="H28" s="262">
        <v>0</v>
      </c>
      <c r="I28" s="114" t="s">
        <v>70</v>
      </c>
    </row>
    <row r="29" spans="1:9" ht="24" thickBot="1">
      <c r="A29" s="120"/>
      <c r="B29" s="111"/>
      <c r="C29" s="121">
        <f>INT(SUM(C20:C28)+SUM(D20:D28)/100)</f>
        <v>6835350</v>
      </c>
      <c r="D29" s="122">
        <f>MOD(SUM(D20:D28),100)</f>
        <v>58</v>
      </c>
      <c r="G29" s="105"/>
      <c r="H29" s="121">
        <f>INT(SUM(H20:H28)+SUM(I20:I28)/100)</f>
        <v>646524</v>
      </c>
      <c r="I29" s="122">
        <f>MOD(SUM(I20:I28),100)</f>
        <v>12</v>
      </c>
    </row>
    <row r="30" spans="1:9" ht="24.75" thickBot="1" thickTop="1">
      <c r="A30" s="120"/>
      <c r="B30" s="111"/>
      <c r="C30" s="121">
        <f>INT(SUM(C19,C29)+SUM(D19,D29)/100)</f>
        <v>16342938</v>
      </c>
      <c r="D30" s="122">
        <f>MOD(SUM(D19,D29),100)</f>
        <v>19</v>
      </c>
      <c r="E30" s="366" t="s">
        <v>44</v>
      </c>
      <c r="F30" s="368"/>
      <c r="G30" s="106"/>
      <c r="H30" s="121">
        <f>INT(SUM(H19,H29)+SUM(I19,I29)/100)</f>
        <v>5053276</v>
      </c>
      <c r="I30" s="122">
        <f>MOD(SUM(I19,I29),100)</f>
        <v>27</v>
      </c>
    </row>
    <row r="31" spans="1:9" ht="24" thickTop="1">
      <c r="A31" s="120"/>
      <c r="B31" s="120"/>
      <c r="C31" s="123"/>
      <c r="D31" s="151"/>
      <c r="E31" s="104"/>
      <c r="F31" s="104"/>
      <c r="G31" s="128"/>
      <c r="H31" s="123"/>
      <c r="I31" s="151"/>
    </row>
    <row r="32" spans="1:9" ht="23.25">
      <c r="A32" s="120"/>
      <c r="B32" s="120"/>
      <c r="C32" s="123"/>
      <c r="D32" s="151"/>
      <c r="E32" s="104"/>
      <c r="F32" s="104"/>
      <c r="G32" s="128"/>
      <c r="H32" s="123"/>
      <c r="I32" s="151"/>
    </row>
    <row r="33" spans="1:9" ht="23.25">
      <c r="A33" s="120"/>
      <c r="B33" s="120"/>
      <c r="C33" s="123"/>
      <c r="D33" s="151"/>
      <c r="E33" s="104"/>
      <c r="F33" s="104"/>
      <c r="G33" s="128"/>
      <c r="H33" s="123"/>
      <c r="I33" s="151"/>
    </row>
    <row r="34" spans="1:9" ht="23.25">
      <c r="A34" s="120"/>
      <c r="B34" s="120"/>
      <c r="C34" s="123"/>
      <c r="D34" s="151"/>
      <c r="E34" s="104"/>
      <c r="F34" s="104"/>
      <c r="G34" s="128"/>
      <c r="H34" s="123"/>
      <c r="I34" s="151"/>
    </row>
    <row r="35" spans="1:9" ht="23.25">
      <c r="A35" s="120"/>
      <c r="B35" s="120"/>
      <c r="C35" s="123"/>
      <c r="D35" s="151"/>
      <c r="E35" s="104"/>
      <c r="F35" s="104"/>
      <c r="G35" s="128"/>
      <c r="H35" s="123"/>
      <c r="I35" s="151"/>
    </row>
    <row r="36" spans="1:9" ht="23.25">
      <c r="A36" s="120"/>
      <c r="B36" s="120"/>
      <c r="C36" s="123"/>
      <c r="D36" s="151"/>
      <c r="E36" s="104"/>
      <c r="F36" s="104"/>
      <c r="G36" s="128"/>
      <c r="H36" s="123"/>
      <c r="I36" s="151"/>
    </row>
    <row r="37" spans="1:9" ht="23.25">
      <c r="A37" s="120"/>
      <c r="B37" s="120"/>
      <c r="C37" s="123"/>
      <c r="D37" s="151"/>
      <c r="E37" s="104"/>
      <c r="F37" s="104"/>
      <c r="G37" s="128"/>
      <c r="H37" s="123"/>
      <c r="I37" s="151"/>
    </row>
    <row r="38" spans="1:9" ht="23.25">
      <c r="A38" s="120"/>
      <c r="B38" s="120"/>
      <c r="C38" s="123"/>
      <c r="D38" s="138"/>
      <c r="E38" s="104"/>
      <c r="F38" s="104"/>
      <c r="G38" s="128"/>
      <c r="H38" s="123"/>
      <c r="I38" s="138"/>
    </row>
    <row r="39" spans="1:15" ht="23.25">
      <c r="A39" s="223" t="s">
        <v>290</v>
      </c>
      <c r="B39" s="120"/>
      <c r="C39" s="120"/>
      <c r="D39" s="123"/>
      <c r="E39" s="104"/>
      <c r="F39" s="104"/>
      <c r="G39" s="128"/>
      <c r="H39" s="123"/>
      <c r="I39" s="138"/>
      <c r="K39" s="223"/>
      <c r="L39" s="120"/>
      <c r="M39" s="120"/>
      <c r="N39" s="123"/>
      <c r="O39" s="138"/>
    </row>
    <row r="40" spans="1:15" ht="23.25">
      <c r="A40" s="223" t="s">
        <v>149</v>
      </c>
      <c r="B40" s="120"/>
      <c r="C40" s="364">
        <f>3533745.61-M61</f>
        <v>787798.5999999996</v>
      </c>
      <c r="D40" s="364"/>
      <c r="E40" s="336"/>
      <c r="F40" s="104"/>
      <c r="G40" s="128"/>
      <c r="H40" s="123"/>
      <c r="I40" s="138"/>
      <c r="K40" s="223"/>
      <c r="L40" s="120"/>
      <c r="M40" s="120"/>
      <c r="N40" s="224"/>
      <c r="O40" s="225"/>
    </row>
    <row r="41" spans="1:15" ht="23.25">
      <c r="A41" s="223" t="s">
        <v>40</v>
      </c>
      <c r="B41" s="120"/>
      <c r="C41" s="364">
        <f>5973842-P61</f>
        <v>4336947</v>
      </c>
      <c r="D41" s="364"/>
      <c r="E41" s="104"/>
      <c r="F41" s="104"/>
      <c r="G41" s="128"/>
      <c r="H41" s="123"/>
      <c r="I41" s="138"/>
      <c r="K41" s="223"/>
      <c r="L41" s="120"/>
      <c r="M41" s="120"/>
      <c r="N41" s="224"/>
      <c r="O41" s="225"/>
    </row>
    <row r="42" spans="1:9" ht="23.25">
      <c r="A42" s="226"/>
      <c r="B42" s="226"/>
      <c r="C42" s="226"/>
      <c r="D42" s="226"/>
      <c r="E42" s="104"/>
      <c r="F42" s="104"/>
      <c r="G42" s="128"/>
      <c r="H42" s="123"/>
      <c r="I42" s="138"/>
    </row>
    <row r="43" spans="1:9" ht="23.25">
      <c r="A43" s="174"/>
      <c r="B43" s="120"/>
      <c r="C43" s="175"/>
      <c r="D43" s="176"/>
      <c r="E43" s="104"/>
      <c r="F43" s="104"/>
      <c r="G43" s="128"/>
      <c r="H43" s="123"/>
      <c r="I43" s="138"/>
    </row>
    <row r="44" spans="1:9" ht="23.25">
      <c r="A44" s="174"/>
      <c r="B44" s="120"/>
      <c r="C44" s="175"/>
      <c r="D44" s="176"/>
      <c r="E44" s="104"/>
      <c r="F44" s="104"/>
      <c r="G44" s="128"/>
      <c r="H44" s="123"/>
      <c r="I44" s="138"/>
    </row>
    <row r="45" spans="1:9" ht="23.25">
      <c r="A45" s="359" t="s">
        <v>75</v>
      </c>
      <c r="B45" s="359"/>
      <c r="C45" s="359"/>
      <c r="D45" s="359"/>
      <c r="E45" s="359"/>
      <c r="F45" s="359"/>
      <c r="G45" s="359"/>
      <c r="H45" s="359"/>
      <c r="I45" s="359"/>
    </row>
    <row r="46" spans="1:9" ht="23.25">
      <c r="A46" s="374" t="s">
        <v>24</v>
      </c>
      <c r="B46" s="375"/>
      <c r="C46" s="375"/>
      <c r="D46" s="376"/>
      <c r="E46" s="372"/>
      <c r="F46" s="358"/>
      <c r="G46" s="103"/>
      <c r="H46" s="374" t="s">
        <v>25</v>
      </c>
      <c r="I46" s="376"/>
    </row>
    <row r="47" spans="1:9" ht="23.25">
      <c r="A47" s="372" t="s">
        <v>26</v>
      </c>
      <c r="B47" s="373"/>
      <c r="C47" s="372" t="s">
        <v>27</v>
      </c>
      <c r="D47" s="373"/>
      <c r="E47" s="366" t="s">
        <v>28</v>
      </c>
      <c r="F47" s="367"/>
      <c r="G47" s="105" t="s">
        <v>29</v>
      </c>
      <c r="H47" s="366" t="s">
        <v>27</v>
      </c>
      <c r="I47" s="368"/>
    </row>
    <row r="48" spans="1:16" ht="21" customHeight="1">
      <c r="A48" s="369" t="s">
        <v>30</v>
      </c>
      <c r="B48" s="370"/>
      <c r="C48" s="369" t="s">
        <v>30</v>
      </c>
      <c r="D48" s="370"/>
      <c r="E48" s="369"/>
      <c r="F48" s="371"/>
      <c r="G48" s="106" t="s">
        <v>31</v>
      </c>
      <c r="H48" s="369" t="s">
        <v>30</v>
      </c>
      <c r="I48" s="370"/>
      <c r="L48" s="261" t="s">
        <v>25</v>
      </c>
      <c r="M48" s="261" t="s">
        <v>250</v>
      </c>
      <c r="O48" s="261" t="s">
        <v>25</v>
      </c>
      <c r="P48" s="261" t="s">
        <v>250</v>
      </c>
    </row>
    <row r="49" spans="1:16" ht="23.25">
      <c r="A49" s="107"/>
      <c r="B49" s="108"/>
      <c r="C49" s="109"/>
      <c r="D49" s="108"/>
      <c r="E49" s="110" t="s">
        <v>45</v>
      </c>
      <c r="F49" s="111"/>
      <c r="G49" s="105"/>
      <c r="H49" s="156"/>
      <c r="I49" s="112"/>
      <c r="K49" s="261" t="s">
        <v>26</v>
      </c>
      <c r="L49" s="261" t="s">
        <v>149</v>
      </c>
      <c r="M49" s="261" t="s">
        <v>149</v>
      </c>
      <c r="N49" s="261" t="s">
        <v>26</v>
      </c>
      <c r="O49" s="261" t="s">
        <v>40</v>
      </c>
      <c r="P49" s="261" t="s">
        <v>40</v>
      </c>
    </row>
    <row r="50" spans="1:16" ht="22.5" customHeight="1">
      <c r="A50" s="113">
        <f aca="true" t="shared" si="0" ref="A50:A60">K50+N50</f>
        <v>2646958</v>
      </c>
      <c r="B50" s="114" t="s">
        <v>70</v>
      </c>
      <c r="C50" s="262">
        <v>895860</v>
      </c>
      <c r="D50" s="114">
        <v>79</v>
      </c>
      <c r="E50" s="110"/>
      <c r="F50" s="111" t="s">
        <v>46</v>
      </c>
      <c r="G50" s="105" t="s">
        <v>208</v>
      </c>
      <c r="H50" s="116">
        <v>138178</v>
      </c>
      <c r="I50" s="114" t="s">
        <v>70</v>
      </c>
      <c r="K50" s="226">
        <v>885678</v>
      </c>
      <c r="L50" s="226">
        <v>8874</v>
      </c>
      <c r="M50" s="226">
        <f>88081+91588.79+14664+8874</f>
        <v>203207.78999999998</v>
      </c>
      <c r="N50" s="226">
        <v>1761280</v>
      </c>
      <c r="O50" s="226">
        <v>129304</v>
      </c>
      <c r="P50" s="226">
        <f>60000+503349+129304</f>
        <v>692653</v>
      </c>
    </row>
    <row r="51" spans="1:16" ht="22.5" customHeight="1">
      <c r="A51" s="113">
        <f t="shared" si="0"/>
        <v>1410960</v>
      </c>
      <c r="B51" s="114" t="s">
        <v>70</v>
      </c>
      <c r="C51" s="262">
        <v>551450</v>
      </c>
      <c r="D51" s="117" t="s">
        <v>70</v>
      </c>
      <c r="E51" s="109"/>
      <c r="F51" s="111" t="s">
        <v>241</v>
      </c>
      <c r="G51" s="105" t="s">
        <v>243</v>
      </c>
      <c r="H51" s="116">
        <v>107350</v>
      </c>
      <c r="I51" s="114" t="s">
        <v>70</v>
      </c>
      <c r="K51" s="226">
        <f>1415400-4440</f>
        <v>1410960</v>
      </c>
      <c r="L51" s="226">
        <v>107350</v>
      </c>
      <c r="M51" s="226">
        <f>112250+112250+112250+107350+107350</f>
        <v>551450</v>
      </c>
      <c r="N51" s="226">
        <v>0</v>
      </c>
      <c r="P51" s="226"/>
    </row>
    <row r="52" spans="1:16" ht="22.5" customHeight="1">
      <c r="A52" s="113">
        <f t="shared" si="0"/>
        <v>3459780</v>
      </c>
      <c r="B52" s="114" t="s">
        <v>70</v>
      </c>
      <c r="C52" s="262">
        <v>1237166</v>
      </c>
      <c r="D52" s="114" t="s">
        <v>70</v>
      </c>
      <c r="E52" s="109"/>
      <c r="F52" s="111" t="s">
        <v>242</v>
      </c>
      <c r="G52" s="105" t="s">
        <v>244</v>
      </c>
      <c r="H52" s="116">
        <v>255780</v>
      </c>
      <c r="I52" s="114" t="s">
        <v>70</v>
      </c>
      <c r="K52" s="226">
        <f>3290940+3600+240+5280-1080-6000-30000</f>
        <v>3262980</v>
      </c>
      <c r="L52" s="226">
        <v>239380</v>
      </c>
      <c r="M52" s="226">
        <f>223600+212986+240260+238940+239380</f>
        <v>1155166</v>
      </c>
      <c r="N52" s="226">
        <v>196800</v>
      </c>
      <c r="O52" s="226">
        <v>16400</v>
      </c>
      <c r="P52" s="226">
        <f>16400+16400+16400+16400+16400</f>
        <v>82000</v>
      </c>
    </row>
    <row r="53" spans="1:16" ht="22.5" customHeight="1">
      <c r="A53" s="113">
        <f t="shared" si="0"/>
        <v>1125320</v>
      </c>
      <c r="B53" s="114" t="s">
        <v>70</v>
      </c>
      <c r="C53" s="262">
        <v>205315</v>
      </c>
      <c r="D53" s="117" t="s">
        <v>70</v>
      </c>
      <c r="E53" s="109"/>
      <c r="F53" s="111" t="s">
        <v>47</v>
      </c>
      <c r="G53" s="105" t="s">
        <v>175</v>
      </c>
      <c r="H53" s="116">
        <v>62611</v>
      </c>
      <c r="I53" s="114" t="s">
        <v>70</v>
      </c>
      <c r="K53" s="226">
        <f>1056860-3600-16800+6000-17500-20000-3600</f>
        <v>1001360</v>
      </c>
      <c r="L53" s="226">
        <v>31820</v>
      </c>
      <c r="M53" s="226">
        <f>2175+53517+81262+5750+31820</f>
        <v>174524</v>
      </c>
      <c r="N53" s="226">
        <v>123960</v>
      </c>
      <c r="O53" s="226">
        <v>30791</v>
      </c>
      <c r="P53" s="226">
        <v>30791</v>
      </c>
    </row>
    <row r="54" spans="1:16" ht="22.5" customHeight="1">
      <c r="A54" s="113">
        <f t="shared" si="0"/>
        <v>1752090</v>
      </c>
      <c r="B54" s="114" t="s">
        <v>70</v>
      </c>
      <c r="C54" s="262">
        <v>329811</v>
      </c>
      <c r="D54" s="117" t="s">
        <v>70</v>
      </c>
      <c r="E54" s="109"/>
      <c r="F54" s="111" t="s">
        <v>48</v>
      </c>
      <c r="G54" s="105" t="s">
        <v>176</v>
      </c>
      <c r="H54" s="116">
        <v>86036</v>
      </c>
      <c r="I54" s="114" t="s">
        <v>70</v>
      </c>
      <c r="K54" s="226">
        <f>967190+8400+8400+30000+5000-5000+15500-15500+17500</f>
        <v>1031490</v>
      </c>
      <c r="L54" s="226">
        <v>86036</v>
      </c>
      <c r="M54" s="226">
        <f>12560+34333+82816+83030+86036</f>
        <v>298775</v>
      </c>
      <c r="N54" s="226">
        <f>865420-420-47000+2600-50000-50000</f>
        <v>720600</v>
      </c>
      <c r="P54" s="226">
        <f>1000+19300+10736</f>
        <v>31036</v>
      </c>
    </row>
    <row r="55" spans="1:16" ht="22.5" customHeight="1">
      <c r="A55" s="113">
        <f t="shared" si="0"/>
        <v>1645272</v>
      </c>
      <c r="B55" s="114" t="s">
        <v>70</v>
      </c>
      <c r="C55" s="262">
        <v>255568</v>
      </c>
      <c r="D55" s="117" t="s">
        <v>70</v>
      </c>
      <c r="E55" s="109"/>
      <c r="F55" s="111" t="s">
        <v>49</v>
      </c>
      <c r="G55" s="105" t="s">
        <v>177</v>
      </c>
      <c r="H55" s="116">
        <v>72255</v>
      </c>
      <c r="I55" s="114" t="s">
        <v>70</v>
      </c>
      <c r="K55" s="226">
        <f>711232-50000+3600</f>
        <v>664832</v>
      </c>
      <c r="L55" s="226">
        <v>60635</v>
      </c>
      <c r="M55" s="226">
        <f>41210+18019+52305+52729+60635</f>
        <v>224898</v>
      </c>
      <c r="N55" s="226">
        <f>1113240-117600-25200+10000</f>
        <v>980440</v>
      </c>
      <c r="O55" s="226">
        <v>11620</v>
      </c>
      <c r="P55" s="226">
        <f>13800+5250+11620</f>
        <v>30670</v>
      </c>
    </row>
    <row r="56" spans="1:16" ht="22.5" customHeight="1">
      <c r="A56" s="113">
        <f t="shared" si="0"/>
        <v>350800</v>
      </c>
      <c r="B56" s="114" t="s">
        <v>70</v>
      </c>
      <c r="C56" s="262">
        <v>98726</v>
      </c>
      <c r="D56" s="117">
        <v>22</v>
      </c>
      <c r="E56" s="109"/>
      <c r="F56" s="111" t="s">
        <v>67</v>
      </c>
      <c r="G56" s="105" t="s">
        <v>178</v>
      </c>
      <c r="H56" s="116">
        <v>21302</v>
      </c>
      <c r="I56" s="117">
        <v>42</v>
      </c>
      <c r="K56" s="226">
        <v>350800</v>
      </c>
      <c r="L56" s="226">
        <v>21302.42</v>
      </c>
      <c r="M56" s="226">
        <f>20698.02+18925.95+21949.54+15850.29+21302.42</f>
        <v>98726.22</v>
      </c>
      <c r="N56" s="226">
        <v>0</v>
      </c>
      <c r="P56" s="226"/>
    </row>
    <row r="57" spans="1:16" ht="22.5" customHeight="1">
      <c r="A57" s="113">
        <f t="shared" si="0"/>
        <v>516750</v>
      </c>
      <c r="B57" s="114" t="s">
        <v>70</v>
      </c>
      <c r="C57" s="262">
        <v>27700</v>
      </c>
      <c r="D57" s="114" t="s">
        <v>70</v>
      </c>
      <c r="E57" s="109"/>
      <c r="F57" s="111" t="s">
        <v>50</v>
      </c>
      <c r="G57" s="118">
        <v>541000</v>
      </c>
      <c r="H57" s="262">
        <v>21700</v>
      </c>
      <c r="I57" s="114" t="s">
        <v>70</v>
      </c>
      <c r="K57" s="226">
        <v>143200</v>
      </c>
      <c r="L57" s="226">
        <v>19200</v>
      </c>
      <c r="M57" s="226">
        <v>19200</v>
      </c>
      <c r="N57" s="226">
        <v>373550</v>
      </c>
      <c r="O57" s="226">
        <v>2500</v>
      </c>
      <c r="P57" s="226">
        <f>6000+2500</f>
        <v>8500</v>
      </c>
    </row>
    <row r="58" spans="1:16" ht="22.5" customHeight="1">
      <c r="A58" s="113">
        <f t="shared" si="0"/>
        <v>2179300</v>
      </c>
      <c r="B58" s="114" t="s">
        <v>70</v>
      </c>
      <c r="C58" s="262">
        <v>0</v>
      </c>
      <c r="D58" s="114" t="s">
        <v>70</v>
      </c>
      <c r="E58" s="109"/>
      <c r="F58" s="111" t="s">
        <v>51</v>
      </c>
      <c r="G58" s="105" t="s">
        <v>179</v>
      </c>
      <c r="H58" s="262" t="s">
        <v>70</v>
      </c>
      <c r="I58" s="114" t="s">
        <v>70</v>
      </c>
      <c r="K58" s="226">
        <v>0</v>
      </c>
      <c r="N58" s="226">
        <v>2179300</v>
      </c>
      <c r="P58" s="226"/>
    </row>
    <row r="59" spans="1:16" ht="22.5" customHeight="1">
      <c r="A59" s="113">
        <f t="shared" si="0"/>
        <v>943000</v>
      </c>
      <c r="B59" s="114" t="s">
        <v>70</v>
      </c>
      <c r="C59" s="262">
        <v>439000</v>
      </c>
      <c r="D59" s="117" t="s">
        <v>70</v>
      </c>
      <c r="E59" s="109"/>
      <c r="F59" s="111" t="s">
        <v>40</v>
      </c>
      <c r="G59" s="105" t="s">
        <v>209</v>
      </c>
      <c r="H59" s="262">
        <v>125000</v>
      </c>
      <c r="I59" s="117" t="s">
        <v>70</v>
      </c>
      <c r="K59" s="226">
        <v>20000</v>
      </c>
      <c r="L59" s="226">
        <v>20000</v>
      </c>
      <c r="M59" s="226">
        <v>20000</v>
      </c>
      <c r="N59" s="226">
        <f>1195400-372400+100000</f>
        <v>923000</v>
      </c>
      <c r="O59" s="226">
        <v>105000</v>
      </c>
      <c r="P59" s="226">
        <f>314000+105000</f>
        <v>419000</v>
      </c>
    </row>
    <row r="60" spans="1:16" ht="22.5" customHeight="1">
      <c r="A60" s="113">
        <f t="shared" si="0"/>
        <v>849020</v>
      </c>
      <c r="B60" s="119" t="s">
        <v>70</v>
      </c>
      <c r="C60" s="262">
        <v>342245</v>
      </c>
      <c r="D60" s="114" t="s">
        <v>70</v>
      </c>
      <c r="E60" s="109"/>
      <c r="F60" s="120" t="s">
        <v>69</v>
      </c>
      <c r="G60" s="105" t="s">
        <v>210</v>
      </c>
      <c r="H60" s="262">
        <v>3750</v>
      </c>
      <c r="I60" s="114" t="s">
        <v>70</v>
      </c>
      <c r="K60" s="226">
        <v>50000</v>
      </c>
      <c r="N60" s="226">
        <f>249000+147000+372400+117600+25200+420-20000-80000-10000-2600</f>
        <v>799020</v>
      </c>
      <c r="O60" s="226">
        <v>3750</v>
      </c>
      <c r="P60" s="226">
        <f>318500+19995+3750</f>
        <v>342245</v>
      </c>
    </row>
    <row r="61" spans="1:16" ht="22.5" customHeight="1" thickBot="1">
      <c r="A61" s="121">
        <f>INT(SUM(A50:A60)+SUM(B50:B60)/100)</f>
        <v>16879250</v>
      </c>
      <c r="B61" s="160">
        <f>MOD(SUM(B50:B60),100)</f>
        <v>0</v>
      </c>
      <c r="C61" s="121">
        <f>INT(SUM(C50:C60)+SUM(D50:D60)/100)</f>
        <v>4382842</v>
      </c>
      <c r="D61" s="122">
        <f>MOD(SUM(D50:D60),100)</f>
        <v>1</v>
      </c>
      <c r="E61" s="109"/>
      <c r="G61" s="105"/>
      <c r="H61" s="121">
        <f>INT(SUM(H50:H60)+SUM(I50:I60)/100)</f>
        <v>893962</v>
      </c>
      <c r="I61" s="122">
        <f>MOD(SUM(I48:I60),100)</f>
        <v>42</v>
      </c>
      <c r="K61" s="226">
        <f aca="true" t="shared" si="1" ref="K61:P61">SUM(K50:K60)</f>
        <v>8821300</v>
      </c>
      <c r="L61" s="226">
        <f t="shared" si="1"/>
        <v>594597.42</v>
      </c>
      <c r="M61" s="226">
        <f t="shared" si="1"/>
        <v>2745947.0100000002</v>
      </c>
      <c r="N61" s="226">
        <f t="shared" si="1"/>
        <v>8057950</v>
      </c>
      <c r="O61" s="226">
        <f t="shared" si="1"/>
        <v>299365</v>
      </c>
      <c r="P61" s="330">
        <f t="shared" si="1"/>
        <v>1636895</v>
      </c>
    </row>
    <row r="62" spans="1:9" ht="22.5" customHeight="1" thickTop="1">
      <c r="A62" s="123"/>
      <c r="B62" s="124"/>
      <c r="C62" s="125">
        <v>3772769</v>
      </c>
      <c r="D62" s="124" t="s">
        <v>70</v>
      </c>
      <c r="E62" s="120"/>
      <c r="F62" s="111" t="s">
        <v>211</v>
      </c>
      <c r="G62" s="105" t="s">
        <v>207</v>
      </c>
      <c r="H62" s="262">
        <v>406572</v>
      </c>
      <c r="I62" s="126" t="s">
        <v>70</v>
      </c>
    </row>
    <row r="63" spans="1:9" ht="22.5" customHeight="1">
      <c r="A63" s="120"/>
      <c r="B63" s="120"/>
      <c r="C63" s="125">
        <v>603540</v>
      </c>
      <c r="D63" s="114" t="s">
        <v>70</v>
      </c>
      <c r="E63" s="109"/>
      <c r="F63" s="111" t="s">
        <v>112</v>
      </c>
      <c r="G63" s="105" t="s">
        <v>214</v>
      </c>
      <c r="H63" s="262" t="s">
        <v>70</v>
      </c>
      <c r="I63" s="114" t="s">
        <v>70</v>
      </c>
    </row>
    <row r="64" spans="1:9" ht="22.5" customHeight="1">
      <c r="A64" s="120"/>
      <c r="B64" s="120"/>
      <c r="C64" s="125">
        <v>10000</v>
      </c>
      <c r="D64" s="114" t="s">
        <v>70</v>
      </c>
      <c r="E64" s="109"/>
      <c r="F64" s="111" t="s">
        <v>43</v>
      </c>
      <c r="G64" s="105" t="s">
        <v>180</v>
      </c>
      <c r="H64" s="262">
        <v>10000</v>
      </c>
      <c r="I64" s="114" t="s">
        <v>70</v>
      </c>
    </row>
    <row r="65" spans="1:9" ht="22.5" customHeight="1">
      <c r="A65" s="120"/>
      <c r="B65" s="120"/>
      <c r="C65" s="125">
        <v>28879</v>
      </c>
      <c r="D65" s="117">
        <v>36</v>
      </c>
      <c r="E65" s="109"/>
      <c r="F65" s="111" t="s">
        <v>145</v>
      </c>
      <c r="G65" s="105" t="s">
        <v>183</v>
      </c>
      <c r="H65" s="116">
        <v>11275</v>
      </c>
      <c r="I65" s="117">
        <v>16</v>
      </c>
    </row>
    <row r="66" spans="1:9" ht="22.5" customHeight="1">
      <c r="A66" s="120"/>
      <c r="B66" s="120"/>
      <c r="C66" s="125">
        <v>48244</v>
      </c>
      <c r="D66" s="117">
        <v>50</v>
      </c>
      <c r="E66" s="109"/>
      <c r="F66" s="111" t="s">
        <v>144</v>
      </c>
      <c r="G66" s="105" t="s">
        <v>154</v>
      </c>
      <c r="H66" s="262" t="s">
        <v>70</v>
      </c>
      <c r="I66" s="117" t="s">
        <v>70</v>
      </c>
    </row>
    <row r="67" spans="1:9" ht="22.5" customHeight="1">
      <c r="A67" s="120"/>
      <c r="B67" s="120"/>
      <c r="C67" s="125">
        <v>755689</v>
      </c>
      <c r="D67" s="114">
        <v>68</v>
      </c>
      <c r="E67" s="109"/>
      <c r="F67" s="111" t="s">
        <v>167</v>
      </c>
      <c r="G67" s="105" t="s">
        <v>155</v>
      </c>
      <c r="H67" s="262" t="s">
        <v>70</v>
      </c>
      <c r="I67" s="114" t="s">
        <v>70</v>
      </c>
    </row>
    <row r="68" spans="1:9" ht="22.5" customHeight="1">
      <c r="A68" s="120"/>
      <c r="B68" s="120"/>
      <c r="C68" s="125">
        <v>16775</v>
      </c>
      <c r="D68" s="114">
        <v>70</v>
      </c>
      <c r="E68" s="109"/>
      <c r="F68" s="120" t="s">
        <v>122</v>
      </c>
      <c r="G68" s="105" t="s">
        <v>213</v>
      </c>
      <c r="H68" s="262" t="s">
        <v>70</v>
      </c>
      <c r="I68" s="114" t="s">
        <v>70</v>
      </c>
    </row>
    <row r="69" spans="1:9" ht="22.5" customHeight="1">
      <c r="A69" s="120"/>
      <c r="B69" s="120"/>
      <c r="C69" s="267">
        <v>904446</v>
      </c>
      <c r="D69" s="114" t="s">
        <v>70</v>
      </c>
      <c r="E69" s="109"/>
      <c r="F69" s="120" t="s">
        <v>52</v>
      </c>
      <c r="G69" s="105" t="s">
        <v>212</v>
      </c>
      <c r="H69" s="262">
        <v>236794</v>
      </c>
      <c r="I69" s="114" t="s">
        <v>70</v>
      </c>
    </row>
    <row r="70" spans="1:9" ht="22.5" customHeight="1">
      <c r="A70" s="120"/>
      <c r="B70" s="120"/>
      <c r="C70" s="267">
        <v>1745107</v>
      </c>
      <c r="D70" s="117">
        <v>27</v>
      </c>
      <c r="E70" s="120"/>
      <c r="F70" s="120" t="s">
        <v>140</v>
      </c>
      <c r="G70" s="106" t="s">
        <v>249</v>
      </c>
      <c r="H70" s="262">
        <v>351607</v>
      </c>
      <c r="I70" s="114">
        <v>27</v>
      </c>
    </row>
    <row r="71" spans="1:9" ht="22.5" customHeight="1" thickBot="1">
      <c r="A71" s="120"/>
      <c r="B71" s="111"/>
      <c r="C71" s="121">
        <f>INT(SUM(C62:C70)+SUM(D62:D70)/100)</f>
        <v>7885451</v>
      </c>
      <c r="D71" s="122">
        <f>MOD(SUM(D62:D70),100)</f>
        <v>51</v>
      </c>
      <c r="H71" s="121">
        <f>INT(SUM(H62:H70)+SUM(I62:I70)/100)</f>
        <v>1016248</v>
      </c>
      <c r="I71" s="122">
        <f>MOD(SUM(I62:I70),100)</f>
        <v>43</v>
      </c>
    </row>
    <row r="72" spans="1:9" ht="22.5" customHeight="1" thickBot="1" thickTop="1">
      <c r="A72" s="120"/>
      <c r="B72" s="111"/>
      <c r="C72" s="121">
        <f>INT(SUM(C61,C71)+SUM(D61,D71)/100)</f>
        <v>12268293</v>
      </c>
      <c r="D72" s="122">
        <f>MOD(SUM(D61,D71),100)</f>
        <v>52</v>
      </c>
      <c r="E72" s="366" t="s">
        <v>53</v>
      </c>
      <c r="F72" s="367"/>
      <c r="G72" s="368"/>
      <c r="H72" s="121">
        <f>INT(SUM(H61,H71)+SUM(I61,I71)/100)</f>
        <v>1910210</v>
      </c>
      <c r="I72" s="122">
        <f>MOD(SUM(I61,I71),100)</f>
        <v>85</v>
      </c>
    </row>
    <row r="73" spans="1:9" ht="22.5" customHeight="1" thickTop="1">
      <c r="A73" s="120"/>
      <c r="B73" s="111"/>
      <c r="C73" s="130">
        <v>4074644</v>
      </c>
      <c r="D73" s="131">
        <v>67</v>
      </c>
      <c r="E73" s="366" t="s">
        <v>54</v>
      </c>
      <c r="F73" s="367"/>
      <c r="G73" s="368"/>
      <c r="H73" s="115">
        <v>3143065</v>
      </c>
      <c r="I73" s="131">
        <v>42</v>
      </c>
    </row>
    <row r="74" spans="1:9" ht="23.25">
      <c r="A74" s="120"/>
      <c r="B74" s="111"/>
      <c r="C74" s="132"/>
      <c r="D74" s="114"/>
      <c r="E74" s="366" t="s">
        <v>55</v>
      </c>
      <c r="F74" s="367"/>
      <c r="G74" s="368"/>
      <c r="H74" s="132"/>
      <c r="I74" s="133"/>
    </row>
    <row r="75" spans="3:9" ht="23.25">
      <c r="C75" s="134"/>
      <c r="D75" s="158"/>
      <c r="E75" s="366" t="s">
        <v>56</v>
      </c>
      <c r="F75" s="367"/>
      <c r="G75" s="368"/>
      <c r="H75" s="135"/>
      <c r="I75" s="117"/>
    </row>
    <row r="76" spans="2:9" ht="22.5" customHeight="1">
      <c r="B76" s="79"/>
      <c r="C76" s="136">
        <v>8912107</v>
      </c>
      <c r="D76" s="137">
        <v>86</v>
      </c>
      <c r="E76" s="366" t="s">
        <v>57</v>
      </c>
      <c r="F76" s="367"/>
      <c r="G76" s="368"/>
      <c r="H76" s="136">
        <v>8912107</v>
      </c>
      <c r="I76" s="137">
        <v>86</v>
      </c>
    </row>
    <row r="77" spans="2:9" ht="22.5" customHeight="1">
      <c r="B77" s="79"/>
      <c r="C77" s="123"/>
      <c r="D77" s="151"/>
      <c r="E77" s="104"/>
      <c r="F77" s="104"/>
      <c r="G77" s="104"/>
      <c r="H77" s="123"/>
      <c r="I77" s="151"/>
    </row>
    <row r="78" spans="2:9" ht="22.5" customHeight="1">
      <c r="B78" s="79"/>
      <c r="C78" s="123"/>
      <c r="D78" s="151"/>
      <c r="E78" s="104"/>
      <c r="F78" s="104"/>
      <c r="G78" s="104"/>
      <c r="H78" s="123"/>
      <c r="I78" s="151"/>
    </row>
    <row r="79" spans="2:9" ht="20.25" customHeight="1">
      <c r="B79" s="79"/>
      <c r="C79" s="123"/>
      <c r="D79" s="151"/>
      <c r="E79" s="104"/>
      <c r="F79" s="104"/>
      <c r="G79" s="104"/>
      <c r="H79" s="123"/>
      <c r="I79" s="151"/>
    </row>
    <row r="80" spans="1:9" ht="23.25">
      <c r="A80" s="159" t="s">
        <v>124</v>
      </c>
      <c r="B80" s="159"/>
      <c r="C80" s="159"/>
      <c r="D80" s="159" t="s">
        <v>130</v>
      </c>
      <c r="E80" s="159"/>
      <c r="G80" s="159"/>
      <c r="H80" s="159"/>
      <c r="I80" s="159"/>
    </row>
    <row r="81" spans="1:9" ht="23.25">
      <c r="A81" s="159" t="s">
        <v>132</v>
      </c>
      <c r="B81" s="159"/>
      <c r="C81" s="159"/>
      <c r="D81" s="159" t="s">
        <v>131</v>
      </c>
      <c r="E81" s="159"/>
      <c r="G81" s="159"/>
      <c r="H81" s="159"/>
      <c r="I81" s="159"/>
    </row>
    <row r="82" spans="1:9" ht="23.25">
      <c r="A82" s="159" t="s">
        <v>133</v>
      </c>
      <c r="B82" s="159"/>
      <c r="C82" s="159"/>
      <c r="D82" s="159" t="s">
        <v>134</v>
      </c>
      <c r="E82" s="159"/>
      <c r="G82" s="159"/>
      <c r="H82" s="159"/>
      <c r="I82" s="159"/>
    </row>
    <row r="83" spans="6:7" ht="23.25">
      <c r="F83" s="363"/>
      <c r="G83" s="363"/>
    </row>
  </sheetData>
  <mergeCells count="36">
    <mergeCell ref="F83:G83"/>
    <mergeCell ref="A1:I1"/>
    <mergeCell ref="A2:I2"/>
    <mergeCell ref="A4:I4"/>
    <mergeCell ref="A6:D6"/>
    <mergeCell ref="E6:F6"/>
    <mergeCell ref="H6:I6"/>
    <mergeCell ref="A7:B7"/>
    <mergeCell ref="C7:D7"/>
    <mergeCell ref="E7:F7"/>
    <mergeCell ref="A8:B8"/>
    <mergeCell ref="C8:D8"/>
    <mergeCell ref="E8:F8"/>
    <mergeCell ref="H8:I8"/>
    <mergeCell ref="A46:D46"/>
    <mergeCell ref="E46:F46"/>
    <mergeCell ref="H46:I46"/>
    <mergeCell ref="A45:I45"/>
    <mergeCell ref="A47:B47"/>
    <mergeCell ref="C47:D47"/>
    <mergeCell ref="E47:F47"/>
    <mergeCell ref="H47:I47"/>
    <mergeCell ref="A48:B48"/>
    <mergeCell ref="C48:D48"/>
    <mergeCell ref="E48:F48"/>
    <mergeCell ref="H48:I48"/>
    <mergeCell ref="C40:D40"/>
    <mergeCell ref="C41:D41"/>
    <mergeCell ref="F5:H5"/>
    <mergeCell ref="E76:G76"/>
    <mergeCell ref="E72:G72"/>
    <mergeCell ref="E73:G73"/>
    <mergeCell ref="E74:G74"/>
    <mergeCell ref="E75:G75"/>
    <mergeCell ref="E30:F30"/>
    <mergeCell ref="H7:I7"/>
  </mergeCells>
  <printOptions/>
  <pageMargins left="0.826771653543307" right="0.236220472440945" top="0" bottom="0" header="0.236220472440945" footer="0.23622047244094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Normal="85" zoomScaleSheetLayoutView="100" workbookViewId="0" topLeftCell="A1">
      <selection activeCell="D11" sqref="D10:D11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8.57421875" style="0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ht="24">
      <c r="A1" s="438" t="s">
        <v>14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17" ht="24">
      <c r="A2" s="438" t="s">
        <v>107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</row>
    <row r="3" spans="1:17" ht="24.75" thickBot="1">
      <c r="A3" s="439" t="s">
        <v>272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</row>
    <row r="4" spans="1:17" s="46" customFormat="1" ht="21.75">
      <c r="A4" s="440" t="s">
        <v>16</v>
      </c>
      <c r="B4" s="441" t="s">
        <v>80</v>
      </c>
      <c r="C4" s="442" t="s">
        <v>82</v>
      </c>
      <c r="D4" s="443"/>
      <c r="E4" s="442" t="s">
        <v>85</v>
      </c>
      <c r="F4" s="443"/>
      <c r="G4" s="442" t="s">
        <v>86</v>
      </c>
      <c r="H4" s="443"/>
      <c r="I4" s="442" t="s">
        <v>87</v>
      </c>
      <c r="J4" s="444"/>
      <c r="K4" s="442" t="s">
        <v>91</v>
      </c>
      <c r="L4" s="443"/>
      <c r="M4" s="441" t="s">
        <v>92</v>
      </c>
      <c r="N4" s="445" t="s">
        <v>95</v>
      </c>
      <c r="O4" s="446" t="s">
        <v>96</v>
      </c>
      <c r="P4" s="446" t="s">
        <v>99</v>
      </c>
      <c r="Q4" s="447" t="s">
        <v>17</v>
      </c>
    </row>
    <row r="5" spans="1:17" s="46" customFormat="1" ht="22.5" thickBot="1">
      <c r="A5" s="448" t="s">
        <v>18</v>
      </c>
      <c r="B5" s="449" t="s">
        <v>81</v>
      </c>
      <c r="C5" s="450" t="s">
        <v>83</v>
      </c>
      <c r="D5" s="451" t="s">
        <v>84</v>
      </c>
      <c r="E5" s="449" t="s">
        <v>76</v>
      </c>
      <c r="F5" s="449" t="s">
        <v>77</v>
      </c>
      <c r="G5" s="449" t="s">
        <v>78</v>
      </c>
      <c r="H5" s="449" t="s">
        <v>79</v>
      </c>
      <c r="I5" s="451" t="s">
        <v>88</v>
      </c>
      <c r="J5" s="452" t="s">
        <v>89</v>
      </c>
      <c r="K5" s="450" t="s">
        <v>90</v>
      </c>
      <c r="L5" s="450" t="s">
        <v>109</v>
      </c>
      <c r="M5" s="450" t="s">
        <v>93</v>
      </c>
      <c r="N5" s="453" t="s">
        <v>94</v>
      </c>
      <c r="O5" s="454" t="s">
        <v>97</v>
      </c>
      <c r="P5" s="454" t="s">
        <v>98</v>
      </c>
      <c r="Q5" s="455"/>
    </row>
    <row r="6" spans="1:17" ht="18.75" customHeight="1">
      <c r="A6" s="456" t="s">
        <v>273</v>
      </c>
      <c r="B6" s="457"/>
      <c r="C6" s="457"/>
      <c r="D6" s="458"/>
      <c r="E6" s="457"/>
      <c r="F6" s="457"/>
      <c r="G6" s="457"/>
      <c r="H6" s="457"/>
      <c r="I6" s="457"/>
      <c r="J6" s="459"/>
      <c r="K6" s="458"/>
      <c r="L6" s="458"/>
      <c r="M6" s="458"/>
      <c r="N6" s="459"/>
      <c r="O6" s="459"/>
      <c r="P6" s="459"/>
      <c r="Q6" s="459"/>
    </row>
    <row r="7" spans="1:17" ht="21.75">
      <c r="A7" s="460" t="s">
        <v>237</v>
      </c>
      <c r="B7" s="461">
        <v>0</v>
      </c>
      <c r="C7" s="40">
        <v>0</v>
      </c>
      <c r="D7" s="462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f>SUM(B7:P7)</f>
        <v>0</v>
      </c>
    </row>
    <row r="8" spans="1:17" ht="21.75">
      <c r="A8" s="463" t="s">
        <v>19</v>
      </c>
      <c r="B8" s="461">
        <f aca="true" t="shared" si="0" ref="B8:P8">SUM(B7:B7)</f>
        <v>0</v>
      </c>
      <c r="C8" s="461">
        <f t="shared" si="0"/>
        <v>0</v>
      </c>
      <c r="D8" s="461">
        <f t="shared" si="0"/>
        <v>0</v>
      </c>
      <c r="E8" s="461">
        <f t="shared" si="0"/>
        <v>0</v>
      </c>
      <c r="F8" s="461">
        <f t="shared" si="0"/>
        <v>0</v>
      </c>
      <c r="G8" s="461">
        <f t="shared" si="0"/>
        <v>0</v>
      </c>
      <c r="H8" s="461">
        <f t="shared" si="0"/>
        <v>0</v>
      </c>
      <c r="I8" s="461">
        <f t="shared" si="0"/>
        <v>0</v>
      </c>
      <c r="J8" s="461">
        <f t="shared" si="0"/>
        <v>0</v>
      </c>
      <c r="K8" s="461">
        <f t="shared" si="0"/>
        <v>0</v>
      </c>
      <c r="L8" s="461">
        <f t="shared" si="0"/>
        <v>0</v>
      </c>
      <c r="M8" s="461">
        <f t="shared" si="0"/>
        <v>0</v>
      </c>
      <c r="N8" s="461">
        <f t="shared" si="0"/>
        <v>0</v>
      </c>
      <c r="O8" s="461">
        <f t="shared" si="0"/>
        <v>0</v>
      </c>
      <c r="P8" s="461">
        <f t="shared" si="0"/>
        <v>0</v>
      </c>
      <c r="Q8" s="40">
        <f>SUM(B8:P8)</f>
        <v>0</v>
      </c>
    </row>
    <row r="9" spans="1:17" s="39" customFormat="1" ht="21.75">
      <c r="A9" s="464" t="s">
        <v>20</v>
      </c>
      <c r="B9" s="465">
        <v>0</v>
      </c>
      <c r="C9" s="465">
        <f>0</f>
        <v>0</v>
      </c>
      <c r="D9" s="465">
        <f>0</f>
        <v>0</v>
      </c>
      <c r="E9" s="465">
        <f>0</f>
        <v>0</v>
      </c>
      <c r="F9" s="465">
        <f>0</f>
        <v>0</v>
      </c>
      <c r="G9" s="465">
        <f>0</f>
        <v>0</v>
      </c>
      <c r="H9" s="465">
        <f>0</f>
        <v>0</v>
      </c>
      <c r="I9" s="465">
        <f>0</f>
        <v>0</v>
      </c>
      <c r="J9" s="465">
        <f>0</f>
        <v>0</v>
      </c>
      <c r="K9" s="465">
        <f>0</f>
        <v>0</v>
      </c>
      <c r="L9" s="465">
        <f>0</f>
        <v>0</v>
      </c>
      <c r="M9" s="465">
        <f>0</f>
        <v>0</v>
      </c>
      <c r="N9" s="465">
        <f>0</f>
        <v>0</v>
      </c>
      <c r="O9" s="465">
        <f>0</f>
        <v>0</v>
      </c>
      <c r="P9" s="465">
        <f>0</f>
        <v>0</v>
      </c>
      <c r="Q9" s="41">
        <f>SUM(B9:P9)</f>
        <v>0</v>
      </c>
    </row>
    <row r="10" spans="1:17" ht="20.25" customHeight="1">
      <c r="A10" s="466" t="s">
        <v>274</v>
      </c>
      <c r="B10" s="461"/>
      <c r="C10" s="40"/>
      <c r="D10" s="462"/>
      <c r="E10" s="40"/>
      <c r="F10" s="40"/>
      <c r="G10" s="40"/>
      <c r="H10" s="40"/>
      <c r="I10" s="40"/>
      <c r="J10" s="40"/>
      <c r="K10" s="462"/>
      <c r="L10" s="462"/>
      <c r="M10" s="462"/>
      <c r="N10" s="40"/>
      <c r="O10" s="40"/>
      <c r="P10" s="40"/>
      <c r="Q10" s="40"/>
    </row>
    <row r="11" spans="1:17" ht="21.75">
      <c r="A11" s="463">
        <v>210100</v>
      </c>
      <c r="B11" s="461">
        <v>0</v>
      </c>
      <c r="C11" s="461">
        <v>0</v>
      </c>
      <c r="D11" s="461">
        <v>0</v>
      </c>
      <c r="E11" s="461">
        <v>0</v>
      </c>
      <c r="F11" s="461">
        <v>0</v>
      </c>
      <c r="G11" s="461">
        <v>0</v>
      </c>
      <c r="H11" s="461">
        <v>0</v>
      </c>
      <c r="I11" s="461">
        <v>0</v>
      </c>
      <c r="J11" s="461">
        <v>0</v>
      </c>
      <c r="K11" s="461">
        <v>0</v>
      </c>
      <c r="L11" s="461">
        <v>0</v>
      </c>
      <c r="M11" s="461">
        <v>0</v>
      </c>
      <c r="N11" s="461">
        <v>0</v>
      </c>
      <c r="O11" s="461">
        <v>0</v>
      </c>
      <c r="P11" s="461">
        <v>0</v>
      </c>
      <c r="Q11" s="40">
        <f>SUM(B11:P11)</f>
        <v>0</v>
      </c>
    </row>
    <row r="12" spans="1:17" ht="21.75">
      <c r="A12" s="463" t="s">
        <v>19</v>
      </c>
      <c r="B12" s="461">
        <f aca="true" t="shared" si="1" ref="B12:P12">SUM(B11:B11)</f>
        <v>0</v>
      </c>
      <c r="C12" s="461">
        <f t="shared" si="1"/>
        <v>0</v>
      </c>
      <c r="D12" s="461">
        <f t="shared" si="1"/>
        <v>0</v>
      </c>
      <c r="E12" s="461">
        <f t="shared" si="1"/>
        <v>0</v>
      </c>
      <c r="F12" s="461">
        <f t="shared" si="1"/>
        <v>0</v>
      </c>
      <c r="G12" s="461">
        <f t="shared" si="1"/>
        <v>0</v>
      </c>
      <c r="H12" s="461">
        <f t="shared" si="1"/>
        <v>0</v>
      </c>
      <c r="I12" s="461">
        <f t="shared" si="1"/>
        <v>0</v>
      </c>
      <c r="J12" s="461">
        <f t="shared" si="1"/>
        <v>0</v>
      </c>
      <c r="K12" s="461">
        <f t="shared" si="1"/>
        <v>0</v>
      </c>
      <c r="L12" s="461">
        <f t="shared" si="1"/>
        <v>0</v>
      </c>
      <c r="M12" s="461">
        <f t="shared" si="1"/>
        <v>0</v>
      </c>
      <c r="N12" s="461">
        <f t="shared" si="1"/>
        <v>0</v>
      </c>
      <c r="O12" s="461">
        <f t="shared" si="1"/>
        <v>0</v>
      </c>
      <c r="P12" s="461">
        <f t="shared" si="1"/>
        <v>0</v>
      </c>
      <c r="Q12" s="40">
        <f>SUM(B12:P12)</f>
        <v>0</v>
      </c>
    </row>
    <row r="13" spans="1:17" s="39" customFormat="1" ht="21.75">
      <c r="A13" s="464" t="s">
        <v>20</v>
      </c>
      <c r="B13" s="465">
        <f>0</f>
        <v>0</v>
      </c>
      <c r="C13" s="465">
        <v>0</v>
      </c>
      <c r="D13" s="465">
        <v>0</v>
      </c>
      <c r="E13" s="465">
        <f>0</f>
        <v>0</v>
      </c>
      <c r="F13" s="465">
        <f>0</f>
        <v>0</v>
      </c>
      <c r="G13" s="465">
        <v>0</v>
      </c>
      <c r="H13" s="465">
        <f>0</f>
        <v>0</v>
      </c>
      <c r="I13" s="465">
        <f>0</f>
        <v>0</v>
      </c>
      <c r="J13" s="465">
        <f>0</f>
        <v>0</v>
      </c>
      <c r="K13" s="465">
        <f>0</f>
        <v>0</v>
      </c>
      <c r="L13" s="465">
        <f>0</f>
        <v>0</v>
      </c>
      <c r="M13" s="465">
        <f>0</f>
        <v>0</v>
      </c>
      <c r="N13" s="465">
        <f>0</f>
        <v>0</v>
      </c>
      <c r="O13" s="465">
        <f>0</f>
        <v>0</v>
      </c>
      <c r="P13" s="465">
        <f>0</f>
        <v>0</v>
      </c>
      <c r="Q13" s="41">
        <f>SUM(B13:P13)</f>
        <v>0</v>
      </c>
    </row>
    <row r="14" spans="1:17" ht="20.25" customHeight="1">
      <c r="A14" s="466" t="s">
        <v>275</v>
      </c>
      <c r="B14" s="461"/>
      <c r="C14" s="461"/>
      <c r="D14" s="467"/>
      <c r="E14" s="40"/>
      <c r="F14" s="40"/>
      <c r="G14" s="40"/>
      <c r="H14" s="461"/>
      <c r="I14" s="40"/>
      <c r="J14" s="40"/>
      <c r="K14" s="462"/>
      <c r="L14" s="462"/>
      <c r="M14" s="462"/>
      <c r="N14" s="40"/>
      <c r="O14" s="40"/>
      <c r="P14" s="40"/>
      <c r="Q14" s="40"/>
    </row>
    <row r="15" spans="1:17" ht="21.75">
      <c r="A15" s="463">
        <v>220100</v>
      </c>
      <c r="B15" s="461">
        <v>0</v>
      </c>
      <c r="C15" s="461">
        <v>0</v>
      </c>
      <c r="D15" s="461">
        <v>0</v>
      </c>
      <c r="E15" s="461">
        <v>0</v>
      </c>
      <c r="F15" s="461">
        <v>0</v>
      </c>
      <c r="G15" s="461">
        <v>0</v>
      </c>
      <c r="H15" s="461">
        <v>0</v>
      </c>
      <c r="I15" s="461">
        <v>0</v>
      </c>
      <c r="J15" s="461">
        <v>0</v>
      </c>
      <c r="K15" s="461">
        <v>0</v>
      </c>
      <c r="L15" s="461">
        <v>0</v>
      </c>
      <c r="M15" s="461">
        <v>0</v>
      </c>
      <c r="N15" s="461">
        <v>0</v>
      </c>
      <c r="O15" s="461">
        <v>0</v>
      </c>
      <c r="P15" s="461">
        <v>0</v>
      </c>
      <c r="Q15" s="40">
        <f>SUM(B15:P15)</f>
        <v>0</v>
      </c>
    </row>
    <row r="16" spans="1:17" ht="21.75">
      <c r="A16" s="463" t="s">
        <v>19</v>
      </c>
      <c r="B16" s="461">
        <f aca="true" t="shared" si="2" ref="B16:P16">B15</f>
        <v>0</v>
      </c>
      <c r="C16" s="461">
        <f t="shared" si="2"/>
        <v>0</v>
      </c>
      <c r="D16" s="461">
        <f t="shared" si="2"/>
        <v>0</v>
      </c>
      <c r="E16" s="461">
        <f t="shared" si="2"/>
        <v>0</v>
      </c>
      <c r="F16" s="461">
        <f t="shared" si="2"/>
        <v>0</v>
      </c>
      <c r="G16" s="461">
        <f t="shared" si="2"/>
        <v>0</v>
      </c>
      <c r="H16" s="461">
        <f t="shared" si="2"/>
        <v>0</v>
      </c>
      <c r="I16" s="461">
        <f t="shared" si="2"/>
        <v>0</v>
      </c>
      <c r="J16" s="461">
        <f t="shared" si="2"/>
        <v>0</v>
      </c>
      <c r="K16" s="461">
        <f t="shared" si="2"/>
        <v>0</v>
      </c>
      <c r="L16" s="461">
        <f t="shared" si="2"/>
        <v>0</v>
      </c>
      <c r="M16" s="461">
        <f t="shared" si="2"/>
        <v>0</v>
      </c>
      <c r="N16" s="461">
        <f t="shared" si="2"/>
        <v>0</v>
      </c>
      <c r="O16" s="461">
        <f t="shared" si="2"/>
        <v>0</v>
      </c>
      <c r="P16" s="461">
        <f t="shared" si="2"/>
        <v>0</v>
      </c>
      <c r="Q16" s="40">
        <f>SUM(B16:P16)</f>
        <v>0</v>
      </c>
    </row>
    <row r="17" spans="1:17" s="39" customFormat="1" ht="21.75">
      <c r="A17" s="464" t="s">
        <v>20</v>
      </c>
      <c r="B17" s="465">
        <f>0</f>
        <v>0</v>
      </c>
      <c r="C17" s="465">
        <v>0</v>
      </c>
      <c r="D17" s="465">
        <v>0</v>
      </c>
      <c r="E17" s="465">
        <f>0</f>
        <v>0</v>
      </c>
      <c r="F17" s="465">
        <f>0</f>
        <v>0</v>
      </c>
      <c r="G17" s="465">
        <f>0</f>
        <v>0</v>
      </c>
      <c r="H17" s="465">
        <f>0</f>
        <v>0</v>
      </c>
      <c r="I17" s="465">
        <f>0</f>
        <v>0</v>
      </c>
      <c r="J17" s="468">
        <f>0</f>
        <v>0</v>
      </c>
      <c r="K17" s="465">
        <f>0</f>
        <v>0</v>
      </c>
      <c r="L17" s="465">
        <f>0</f>
        <v>0</v>
      </c>
      <c r="M17" s="465">
        <f>0</f>
        <v>0</v>
      </c>
      <c r="N17" s="465">
        <f>0</f>
        <v>0</v>
      </c>
      <c r="O17" s="465">
        <f>0</f>
        <v>0</v>
      </c>
      <c r="P17" s="465">
        <f>0</f>
        <v>0</v>
      </c>
      <c r="Q17" s="41">
        <f>SUM(B17:P17)</f>
        <v>0</v>
      </c>
    </row>
    <row r="18" spans="1:17" ht="20.25" customHeight="1">
      <c r="A18" s="469" t="s">
        <v>276</v>
      </c>
      <c r="B18" s="470"/>
      <c r="C18" s="470"/>
      <c r="D18" s="471"/>
      <c r="E18" s="457"/>
      <c r="F18" s="457"/>
      <c r="G18" s="457"/>
      <c r="H18" s="470"/>
      <c r="I18" s="457"/>
      <c r="J18" s="40"/>
      <c r="K18" s="458"/>
      <c r="L18" s="458"/>
      <c r="M18" s="458"/>
      <c r="N18" s="457"/>
      <c r="O18" s="40"/>
      <c r="P18" s="40"/>
      <c r="Q18" s="40"/>
    </row>
    <row r="19" spans="1:17" ht="21.75">
      <c r="A19" s="463">
        <v>310300</v>
      </c>
      <c r="B19" s="461">
        <v>0</v>
      </c>
      <c r="C19" s="461">
        <v>0</v>
      </c>
      <c r="D19" s="461">
        <v>0</v>
      </c>
      <c r="E19" s="461">
        <v>0</v>
      </c>
      <c r="F19" s="461">
        <v>0</v>
      </c>
      <c r="G19" s="461">
        <v>0</v>
      </c>
      <c r="H19" s="461">
        <v>0</v>
      </c>
      <c r="I19" s="461">
        <v>0</v>
      </c>
      <c r="J19" s="461">
        <v>0</v>
      </c>
      <c r="K19" s="461">
        <v>0</v>
      </c>
      <c r="L19" s="461">
        <v>0</v>
      </c>
      <c r="M19" s="461">
        <v>0</v>
      </c>
      <c r="N19" s="461">
        <v>0</v>
      </c>
      <c r="O19" s="461">
        <v>0</v>
      </c>
      <c r="P19" s="461">
        <v>0</v>
      </c>
      <c r="Q19" s="40">
        <f>SUM(B19:P19)</f>
        <v>0</v>
      </c>
    </row>
    <row r="20" spans="1:17" ht="21.75">
      <c r="A20" s="463" t="s">
        <v>19</v>
      </c>
      <c r="B20" s="461">
        <f aca="true" t="shared" si="3" ref="B20:P20">SUM(B19:B19)</f>
        <v>0</v>
      </c>
      <c r="C20" s="461">
        <f t="shared" si="3"/>
        <v>0</v>
      </c>
      <c r="D20" s="461">
        <f t="shared" si="3"/>
        <v>0</v>
      </c>
      <c r="E20" s="461">
        <f t="shared" si="3"/>
        <v>0</v>
      </c>
      <c r="F20" s="461">
        <f t="shared" si="3"/>
        <v>0</v>
      </c>
      <c r="G20" s="461">
        <f t="shared" si="3"/>
        <v>0</v>
      </c>
      <c r="H20" s="461">
        <f t="shared" si="3"/>
        <v>0</v>
      </c>
      <c r="I20" s="461">
        <f t="shared" si="3"/>
        <v>0</v>
      </c>
      <c r="J20" s="461">
        <f t="shared" si="3"/>
        <v>0</v>
      </c>
      <c r="K20" s="461">
        <f t="shared" si="3"/>
        <v>0</v>
      </c>
      <c r="L20" s="461">
        <f t="shared" si="3"/>
        <v>0</v>
      </c>
      <c r="M20" s="461">
        <f t="shared" si="3"/>
        <v>0</v>
      </c>
      <c r="N20" s="461">
        <f t="shared" si="3"/>
        <v>0</v>
      </c>
      <c r="O20" s="461">
        <f t="shared" si="3"/>
        <v>0</v>
      </c>
      <c r="P20" s="461">
        <f t="shared" si="3"/>
        <v>0</v>
      </c>
      <c r="Q20" s="40">
        <f>SUM(B20:P20)</f>
        <v>0</v>
      </c>
    </row>
    <row r="21" spans="1:17" s="39" customFormat="1" ht="21.75">
      <c r="A21" s="464" t="s">
        <v>20</v>
      </c>
      <c r="B21" s="465">
        <f>0</f>
        <v>0</v>
      </c>
      <c r="C21" s="465">
        <v>0</v>
      </c>
      <c r="D21" s="465">
        <v>0</v>
      </c>
      <c r="E21" s="465">
        <f>0</f>
        <v>0</v>
      </c>
      <c r="F21" s="465">
        <f>0</f>
        <v>0</v>
      </c>
      <c r="G21" s="465">
        <v>0</v>
      </c>
      <c r="H21" s="465">
        <f>0</f>
        <v>0</v>
      </c>
      <c r="I21" s="465">
        <f>0</f>
        <v>0</v>
      </c>
      <c r="J21" s="465">
        <f>0</f>
        <v>0</v>
      </c>
      <c r="K21" s="465">
        <f>0</f>
        <v>0</v>
      </c>
      <c r="L21" s="465">
        <v>0</v>
      </c>
      <c r="M21" s="465">
        <f>0</f>
        <v>0</v>
      </c>
      <c r="N21" s="465">
        <f>0</f>
        <v>0</v>
      </c>
      <c r="O21" s="465">
        <f>0</f>
        <v>0</v>
      </c>
      <c r="P21" s="465">
        <f>0</f>
        <v>0</v>
      </c>
      <c r="Q21" s="41">
        <f>SUM(B21:P21)</f>
        <v>0</v>
      </c>
    </row>
    <row r="22" spans="1:17" ht="20.25" customHeight="1">
      <c r="A22" s="466" t="s">
        <v>277</v>
      </c>
      <c r="B22" s="461"/>
      <c r="C22" s="461"/>
      <c r="D22" s="467"/>
      <c r="E22" s="40"/>
      <c r="F22" s="40"/>
      <c r="G22" s="40"/>
      <c r="H22" s="461"/>
      <c r="I22" s="40"/>
      <c r="J22" s="40"/>
      <c r="K22" s="462"/>
      <c r="L22" s="462"/>
      <c r="M22" s="462"/>
      <c r="N22" s="461"/>
      <c r="O22" s="40"/>
      <c r="P22" s="40"/>
      <c r="Q22" s="40"/>
    </row>
    <row r="23" spans="1:17" ht="21.75">
      <c r="A23" s="463">
        <v>320100</v>
      </c>
      <c r="B23" s="461">
        <v>0</v>
      </c>
      <c r="C23" s="461">
        <v>0</v>
      </c>
      <c r="D23" s="461">
        <v>0</v>
      </c>
      <c r="E23" s="461">
        <v>0</v>
      </c>
      <c r="F23" s="461">
        <v>0</v>
      </c>
      <c r="G23" s="461">
        <v>0</v>
      </c>
      <c r="H23" s="461">
        <v>0</v>
      </c>
      <c r="I23" s="461">
        <v>0</v>
      </c>
      <c r="J23" s="461">
        <v>0</v>
      </c>
      <c r="K23" s="461">
        <v>0</v>
      </c>
      <c r="L23" s="461">
        <v>0</v>
      </c>
      <c r="M23" s="461">
        <v>0</v>
      </c>
      <c r="N23" s="461">
        <v>0</v>
      </c>
      <c r="O23" s="461">
        <v>0</v>
      </c>
      <c r="P23" s="461">
        <v>0</v>
      </c>
      <c r="Q23" s="40">
        <f>SUM(B23:P23)</f>
        <v>0</v>
      </c>
    </row>
    <row r="24" spans="1:17" ht="21.75">
      <c r="A24" s="463" t="s">
        <v>19</v>
      </c>
      <c r="B24" s="461">
        <f aca="true" t="shared" si="4" ref="B24:P24">SUM(B23:B23)</f>
        <v>0</v>
      </c>
      <c r="C24" s="461">
        <f t="shared" si="4"/>
        <v>0</v>
      </c>
      <c r="D24" s="461">
        <f t="shared" si="4"/>
        <v>0</v>
      </c>
      <c r="E24" s="461">
        <f t="shared" si="4"/>
        <v>0</v>
      </c>
      <c r="F24" s="461">
        <f t="shared" si="4"/>
        <v>0</v>
      </c>
      <c r="G24" s="461">
        <f t="shared" si="4"/>
        <v>0</v>
      </c>
      <c r="H24" s="461">
        <f t="shared" si="4"/>
        <v>0</v>
      </c>
      <c r="I24" s="461">
        <f t="shared" si="4"/>
        <v>0</v>
      </c>
      <c r="J24" s="461">
        <f t="shared" si="4"/>
        <v>0</v>
      </c>
      <c r="K24" s="461">
        <f t="shared" si="4"/>
        <v>0</v>
      </c>
      <c r="L24" s="461">
        <f t="shared" si="4"/>
        <v>0</v>
      </c>
      <c r="M24" s="461">
        <f t="shared" si="4"/>
        <v>0</v>
      </c>
      <c r="N24" s="461">
        <f t="shared" si="4"/>
        <v>0</v>
      </c>
      <c r="O24" s="461">
        <f t="shared" si="4"/>
        <v>0</v>
      </c>
      <c r="P24" s="461">
        <f t="shared" si="4"/>
        <v>0</v>
      </c>
      <c r="Q24" s="40">
        <f>SUM(B24:P24)</f>
        <v>0</v>
      </c>
    </row>
    <row r="25" spans="1:17" s="39" customFormat="1" ht="21.75">
      <c r="A25" s="472" t="s">
        <v>20</v>
      </c>
      <c r="B25" s="465">
        <f>0</f>
        <v>0</v>
      </c>
      <c r="C25" s="465">
        <v>0</v>
      </c>
      <c r="D25" s="465">
        <f>0</f>
        <v>0</v>
      </c>
      <c r="E25" s="465">
        <f>0</f>
        <v>0</v>
      </c>
      <c r="F25" s="465">
        <f>0</f>
        <v>0</v>
      </c>
      <c r="G25" s="465">
        <v>0</v>
      </c>
      <c r="H25" s="465">
        <f>0</f>
        <v>0</v>
      </c>
      <c r="I25" s="465">
        <f>0</f>
        <v>0</v>
      </c>
      <c r="J25" s="465">
        <f>0</f>
        <v>0</v>
      </c>
      <c r="K25" s="465">
        <f>0</f>
        <v>0</v>
      </c>
      <c r="L25" s="465">
        <v>0</v>
      </c>
      <c r="M25" s="465">
        <f>0</f>
        <v>0</v>
      </c>
      <c r="N25" s="465">
        <f>0</f>
        <v>0</v>
      </c>
      <c r="O25" s="465">
        <f>0</f>
        <v>0</v>
      </c>
      <c r="P25" s="465">
        <f>0</f>
        <v>0</v>
      </c>
      <c r="Q25" s="41">
        <f>SUM(B25:P25)</f>
        <v>0</v>
      </c>
    </row>
    <row r="26" spans="1:17" ht="18" customHeight="1">
      <c r="A26" s="466" t="s">
        <v>278</v>
      </c>
      <c r="B26" s="470"/>
      <c r="C26" s="461"/>
      <c r="D26" s="471"/>
      <c r="E26" s="457"/>
      <c r="F26" s="461"/>
      <c r="G26" s="461"/>
      <c r="H26" s="461"/>
      <c r="I26" s="473"/>
      <c r="J26" s="470"/>
      <c r="K26" s="467"/>
      <c r="L26" s="471"/>
      <c r="M26" s="458"/>
      <c r="N26" s="461"/>
      <c r="O26" s="40"/>
      <c r="P26" s="40"/>
      <c r="Q26" s="40"/>
    </row>
    <row r="27" spans="1:17" ht="21.75">
      <c r="A27" s="463">
        <v>331700</v>
      </c>
      <c r="B27" s="461">
        <v>0</v>
      </c>
      <c r="C27" s="461">
        <v>0</v>
      </c>
      <c r="D27" s="461">
        <v>0</v>
      </c>
      <c r="E27" s="461">
        <v>0</v>
      </c>
      <c r="F27" s="461">
        <v>0</v>
      </c>
      <c r="G27" s="461">
        <v>0</v>
      </c>
      <c r="H27" s="461">
        <v>0</v>
      </c>
      <c r="I27" s="461">
        <v>0</v>
      </c>
      <c r="J27" s="461">
        <v>0</v>
      </c>
      <c r="K27" s="461">
        <v>48244.5</v>
      </c>
      <c r="L27" s="461">
        <v>0</v>
      </c>
      <c r="M27" s="461">
        <v>0</v>
      </c>
      <c r="N27" s="461">
        <v>0</v>
      </c>
      <c r="O27" s="461">
        <v>0</v>
      </c>
      <c r="P27" s="461">
        <v>0</v>
      </c>
      <c r="Q27" s="40">
        <f>SUM(B27:P27)</f>
        <v>48244.5</v>
      </c>
    </row>
    <row r="28" spans="1:17" ht="21.75">
      <c r="A28" s="463" t="s">
        <v>19</v>
      </c>
      <c r="B28" s="461">
        <f aca="true" t="shared" si="5" ref="B28:P28">SUM(B27:B27)</f>
        <v>0</v>
      </c>
      <c r="C28" s="461">
        <f t="shared" si="5"/>
        <v>0</v>
      </c>
      <c r="D28" s="461">
        <f t="shared" si="5"/>
        <v>0</v>
      </c>
      <c r="E28" s="461">
        <f t="shared" si="5"/>
        <v>0</v>
      </c>
      <c r="F28" s="461">
        <f t="shared" si="5"/>
        <v>0</v>
      </c>
      <c r="G28" s="461">
        <f t="shared" si="5"/>
        <v>0</v>
      </c>
      <c r="H28" s="461">
        <f t="shared" si="5"/>
        <v>0</v>
      </c>
      <c r="I28" s="461">
        <f t="shared" si="5"/>
        <v>0</v>
      </c>
      <c r="J28" s="461">
        <f t="shared" si="5"/>
        <v>0</v>
      </c>
      <c r="K28" s="461">
        <f t="shared" si="5"/>
        <v>48244.5</v>
      </c>
      <c r="L28" s="461">
        <f t="shared" si="5"/>
        <v>0</v>
      </c>
      <c r="M28" s="461">
        <f t="shared" si="5"/>
        <v>0</v>
      </c>
      <c r="N28" s="461">
        <f t="shared" si="5"/>
        <v>0</v>
      </c>
      <c r="O28" s="461">
        <f t="shared" si="5"/>
        <v>0</v>
      </c>
      <c r="P28" s="461">
        <f t="shared" si="5"/>
        <v>0</v>
      </c>
      <c r="Q28" s="40">
        <f>SUM(B28:P28)</f>
        <v>48244.5</v>
      </c>
    </row>
    <row r="29" spans="1:17" s="39" customFormat="1" ht="21.75">
      <c r="A29" s="464" t="s">
        <v>20</v>
      </c>
      <c r="B29" s="465">
        <f>0</f>
        <v>0</v>
      </c>
      <c r="C29" s="465">
        <v>0</v>
      </c>
      <c r="D29" s="465">
        <v>0</v>
      </c>
      <c r="E29" s="465">
        <f>0</f>
        <v>0</v>
      </c>
      <c r="F29" s="465">
        <f>0</f>
        <v>0</v>
      </c>
      <c r="G29" s="465">
        <v>0</v>
      </c>
      <c r="H29" s="465">
        <f>0</f>
        <v>0</v>
      </c>
      <c r="I29" s="465">
        <f>0</f>
        <v>0</v>
      </c>
      <c r="J29" s="465">
        <f>0</f>
        <v>0</v>
      </c>
      <c r="K29" s="465">
        <v>48244.5</v>
      </c>
      <c r="L29" s="465">
        <v>0</v>
      </c>
      <c r="M29" s="465">
        <f>0</f>
        <v>0</v>
      </c>
      <c r="N29" s="465">
        <f>0</f>
        <v>0</v>
      </c>
      <c r="O29" s="465">
        <f>0</f>
        <v>0</v>
      </c>
      <c r="P29" s="465">
        <f>0</f>
        <v>0</v>
      </c>
      <c r="Q29" s="41">
        <f>SUM(B29:P29)</f>
        <v>48244.5</v>
      </c>
    </row>
    <row r="30" spans="1:17" s="39" customFormat="1" ht="21.75">
      <c r="A30" s="474"/>
      <c r="B30" s="475"/>
      <c r="C30" s="475"/>
      <c r="D30" s="434" t="s">
        <v>7</v>
      </c>
      <c r="E30" s="434"/>
      <c r="F30" s="434"/>
      <c r="G30" s="434"/>
      <c r="H30" s="95"/>
      <c r="I30" s="95"/>
      <c r="J30" s="95"/>
      <c r="K30" s="434" t="s">
        <v>101</v>
      </c>
      <c r="L30" s="434"/>
      <c r="M30" s="434"/>
      <c r="N30" s="475"/>
      <c r="O30" s="475"/>
      <c r="P30" s="475"/>
      <c r="Q30" s="476"/>
    </row>
    <row r="31" spans="1:17" s="39" customFormat="1" ht="21.75">
      <c r="A31" s="58"/>
      <c r="B31" s="56"/>
      <c r="C31" s="56"/>
      <c r="D31" s="147"/>
      <c r="E31" s="147"/>
      <c r="F31" s="147"/>
      <c r="G31" s="147"/>
      <c r="H31" s="95"/>
      <c r="I31" s="95"/>
      <c r="J31" s="95"/>
      <c r="K31" s="147"/>
      <c r="L31" s="147"/>
      <c r="M31" s="147"/>
      <c r="N31" s="56"/>
      <c r="O31" s="56"/>
      <c r="P31" s="56"/>
      <c r="Q31" s="57"/>
    </row>
    <row r="32" spans="1:17" s="39" customFormat="1" ht="21.75">
      <c r="A32" s="474"/>
      <c r="B32" s="475"/>
      <c r="C32" s="475"/>
      <c r="D32" s="433" t="s">
        <v>121</v>
      </c>
      <c r="E32" s="433"/>
      <c r="F32" s="433"/>
      <c r="G32" s="433"/>
      <c r="H32" s="95"/>
      <c r="I32" s="95"/>
      <c r="J32" s="95"/>
      <c r="K32" s="433" t="s">
        <v>102</v>
      </c>
      <c r="L32" s="433"/>
      <c r="M32" s="433"/>
      <c r="N32" s="475"/>
      <c r="O32" s="475"/>
      <c r="P32" s="475"/>
      <c r="Q32" s="476"/>
    </row>
    <row r="33" spans="1:17" s="39" customFormat="1" ht="21.75">
      <c r="A33" s="474"/>
      <c r="B33" s="475"/>
      <c r="C33" s="475"/>
      <c r="D33" s="433" t="s">
        <v>111</v>
      </c>
      <c r="E33" s="433"/>
      <c r="F33" s="433"/>
      <c r="G33" s="433"/>
      <c r="H33" s="95"/>
      <c r="I33" s="95"/>
      <c r="J33" s="95"/>
      <c r="K33" s="433" t="s">
        <v>100</v>
      </c>
      <c r="L33" s="433"/>
      <c r="M33" s="433"/>
      <c r="N33" s="475"/>
      <c r="O33" s="475"/>
      <c r="P33" s="475"/>
      <c r="Q33" s="476"/>
    </row>
    <row r="34" spans="1:17" ht="22.5" thickBot="1">
      <c r="A34" s="477" t="s">
        <v>21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</row>
    <row r="35" spans="1:17" s="46" customFormat="1" ht="21.75">
      <c r="A35" s="440" t="s">
        <v>16</v>
      </c>
      <c r="B35" s="441" t="s">
        <v>80</v>
      </c>
      <c r="C35" s="442" t="s">
        <v>82</v>
      </c>
      <c r="D35" s="443"/>
      <c r="E35" s="442" t="s">
        <v>85</v>
      </c>
      <c r="F35" s="443"/>
      <c r="G35" s="442" t="s">
        <v>86</v>
      </c>
      <c r="H35" s="443"/>
      <c r="I35" s="442" t="s">
        <v>87</v>
      </c>
      <c r="J35" s="444"/>
      <c r="K35" s="442" t="s">
        <v>91</v>
      </c>
      <c r="L35" s="443"/>
      <c r="M35" s="441" t="s">
        <v>92</v>
      </c>
      <c r="N35" s="445" t="s">
        <v>95</v>
      </c>
      <c r="O35" s="446" t="s">
        <v>96</v>
      </c>
      <c r="P35" s="446" t="s">
        <v>99</v>
      </c>
      <c r="Q35" s="447" t="s">
        <v>17</v>
      </c>
    </row>
    <row r="36" spans="1:17" s="46" customFormat="1" ht="22.5" thickBot="1">
      <c r="A36" s="448" t="s">
        <v>18</v>
      </c>
      <c r="B36" s="449" t="s">
        <v>81</v>
      </c>
      <c r="C36" s="450" t="s">
        <v>83</v>
      </c>
      <c r="D36" s="451" t="s">
        <v>84</v>
      </c>
      <c r="E36" s="449" t="s">
        <v>76</v>
      </c>
      <c r="F36" s="449" t="s">
        <v>77</v>
      </c>
      <c r="G36" s="449" t="s">
        <v>78</v>
      </c>
      <c r="H36" s="449" t="s">
        <v>79</v>
      </c>
      <c r="I36" s="451" t="s">
        <v>88</v>
      </c>
      <c r="J36" s="452" t="s">
        <v>89</v>
      </c>
      <c r="K36" s="450" t="s">
        <v>110</v>
      </c>
      <c r="L36" s="450" t="s">
        <v>109</v>
      </c>
      <c r="M36" s="450" t="s">
        <v>93</v>
      </c>
      <c r="N36" s="453" t="s">
        <v>94</v>
      </c>
      <c r="O36" s="454" t="s">
        <v>97</v>
      </c>
      <c r="P36" s="454" t="s">
        <v>98</v>
      </c>
      <c r="Q36" s="455"/>
    </row>
    <row r="37" spans="1:17" ht="21.75">
      <c r="A37" s="466" t="s">
        <v>302</v>
      </c>
      <c r="B37" s="40"/>
      <c r="C37" s="461"/>
      <c r="D37" s="462"/>
      <c r="E37" s="40"/>
      <c r="F37" s="40"/>
      <c r="G37" s="40"/>
      <c r="H37" s="40"/>
      <c r="I37" s="40"/>
      <c r="J37" s="40"/>
      <c r="K37" s="462"/>
      <c r="L37" s="462"/>
      <c r="M37" s="40"/>
      <c r="N37" s="461"/>
      <c r="O37" s="40"/>
      <c r="P37" s="40"/>
      <c r="Q37" s="40"/>
    </row>
    <row r="38" spans="1:17" ht="21.75">
      <c r="A38" s="463">
        <v>340100</v>
      </c>
      <c r="B38" s="461">
        <v>0</v>
      </c>
      <c r="C38" s="461">
        <v>0</v>
      </c>
      <c r="D38" s="461">
        <v>0</v>
      </c>
      <c r="E38" s="461">
        <v>0</v>
      </c>
      <c r="F38" s="461">
        <v>0</v>
      </c>
      <c r="G38" s="461">
        <v>0</v>
      </c>
      <c r="H38" s="461">
        <v>0</v>
      </c>
      <c r="I38" s="461">
        <v>0</v>
      </c>
      <c r="J38" s="461">
        <v>0</v>
      </c>
      <c r="K38" s="461">
        <v>0</v>
      </c>
      <c r="L38" s="461">
        <v>0</v>
      </c>
      <c r="M38" s="461">
        <v>0</v>
      </c>
      <c r="N38" s="461">
        <v>0</v>
      </c>
      <c r="O38" s="461">
        <v>0</v>
      </c>
      <c r="P38" s="461">
        <v>0</v>
      </c>
      <c r="Q38" s="40">
        <f>SUM(B38:P38)</f>
        <v>0</v>
      </c>
    </row>
    <row r="39" spans="1:17" ht="21.75">
      <c r="A39" s="463" t="s">
        <v>19</v>
      </c>
      <c r="B39" s="40">
        <f aca="true" t="shared" si="6" ref="B39:K39">SUM(B38:B38)</f>
        <v>0</v>
      </c>
      <c r="C39" s="40">
        <f t="shared" si="6"/>
        <v>0</v>
      </c>
      <c r="D39" s="40">
        <f t="shared" si="6"/>
        <v>0</v>
      </c>
      <c r="E39" s="40">
        <f t="shared" si="6"/>
        <v>0</v>
      </c>
      <c r="F39" s="40">
        <f t="shared" si="6"/>
        <v>0</v>
      </c>
      <c r="G39" s="40">
        <f t="shared" si="6"/>
        <v>0</v>
      </c>
      <c r="H39" s="40">
        <f t="shared" si="6"/>
        <v>0</v>
      </c>
      <c r="I39" s="40">
        <f t="shared" si="6"/>
        <v>0</v>
      </c>
      <c r="J39" s="40">
        <f t="shared" si="6"/>
        <v>0</v>
      </c>
      <c r="K39" s="40">
        <f t="shared" si="6"/>
        <v>0</v>
      </c>
      <c r="L39" s="40">
        <v>0</v>
      </c>
      <c r="M39" s="40">
        <f>SUM(M38:M38)</f>
        <v>0</v>
      </c>
      <c r="N39" s="40">
        <f>SUM(N38:N38)</f>
        <v>0</v>
      </c>
      <c r="O39" s="40">
        <f>SUM(O38:O38)</f>
        <v>0</v>
      </c>
      <c r="P39" s="40">
        <f>SUM(P38:P38)</f>
        <v>0</v>
      </c>
      <c r="Q39" s="40">
        <f>SUM(B39:P39)</f>
        <v>0</v>
      </c>
    </row>
    <row r="40" spans="1:17" s="39" customFormat="1" ht="21.75">
      <c r="A40" s="464" t="s">
        <v>20</v>
      </c>
      <c r="B40" s="465">
        <f>0</f>
        <v>0</v>
      </c>
      <c r="C40" s="465">
        <v>0</v>
      </c>
      <c r="D40" s="465">
        <f>0</f>
        <v>0</v>
      </c>
      <c r="E40" s="465">
        <f>0</f>
        <v>0</v>
      </c>
      <c r="F40" s="465">
        <f>0</f>
        <v>0</v>
      </c>
      <c r="G40" s="465">
        <f>0</f>
        <v>0</v>
      </c>
      <c r="H40" s="465">
        <f>0</f>
        <v>0</v>
      </c>
      <c r="I40" s="465">
        <f>0</f>
        <v>0</v>
      </c>
      <c r="J40" s="465">
        <f>0</f>
        <v>0</v>
      </c>
      <c r="K40" s="465">
        <f>0</f>
        <v>0</v>
      </c>
      <c r="L40" s="465">
        <v>0</v>
      </c>
      <c r="M40" s="465">
        <v>0</v>
      </c>
      <c r="N40" s="465">
        <f>0</f>
        <v>0</v>
      </c>
      <c r="O40" s="465">
        <f>0</f>
        <v>0</v>
      </c>
      <c r="P40" s="465">
        <f>0</f>
        <v>0</v>
      </c>
      <c r="Q40" s="41">
        <f>SUM(B40:P40)</f>
        <v>0</v>
      </c>
    </row>
    <row r="41" spans="1:17" ht="21.75">
      <c r="A41" s="466" t="s">
        <v>279</v>
      </c>
      <c r="B41" s="40"/>
      <c r="C41" s="461"/>
      <c r="D41" s="462"/>
      <c r="E41" s="40"/>
      <c r="F41" s="40"/>
      <c r="G41" s="40"/>
      <c r="H41" s="40"/>
      <c r="I41" s="40"/>
      <c r="J41" s="40"/>
      <c r="K41" s="462"/>
      <c r="L41" s="462"/>
      <c r="M41" s="40"/>
      <c r="N41" s="461"/>
      <c r="O41" s="40"/>
      <c r="P41" s="40"/>
      <c r="Q41" s="40"/>
    </row>
    <row r="42" spans="1:17" ht="21.75">
      <c r="A42" s="463">
        <v>410100</v>
      </c>
      <c r="B42" s="461">
        <v>0</v>
      </c>
      <c r="C42" s="461">
        <v>0</v>
      </c>
      <c r="D42" s="461">
        <v>0</v>
      </c>
      <c r="E42" s="461">
        <v>0</v>
      </c>
      <c r="F42" s="461">
        <v>0</v>
      </c>
      <c r="G42" s="461">
        <v>0</v>
      </c>
      <c r="H42" s="461">
        <v>0</v>
      </c>
      <c r="I42" s="461">
        <v>0</v>
      </c>
      <c r="J42" s="461">
        <v>0</v>
      </c>
      <c r="K42" s="461">
        <v>0</v>
      </c>
      <c r="L42" s="461">
        <v>0</v>
      </c>
      <c r="M42" s="461">
        <v>0</v>
      </c>
      <c r="N42" s="461">
        <v>0</v>
      </c>
      <c r="O42" s="461">
        <v>0</v>
      </c>
      <c r="P42" s="461">
        <v>0</v>
      </c>
      <c r="Q42" s="40">
        <f>SUM(B42:P42)</f>
        <v>0</v>
      </c>
    </row>
    <row r="43" spans="1:17" ht="21.75">
      <c r="A43" s="463" t="s">
        <v>19</v>
      </c>
      <c r="B43" s="40">
        <f aca="true" t="shared" si="7" ref="B43:P43">SUM(B42)</f>
        <v>0</v>
      </c>
      <c r="C43" s="40">
        <f t="shared" si="7"/>
        <v>0</v>
      </c>
      <c r="D43" s="40">
        <f t="shared" si="7"/>
        <v>0</v>
      </c>
      <c r="E43" s="40">
        <f t="shared" si="7"/>
        <v>0</v>
      </c>
      <c r="F43" s="40">
        <f t="shared" si="7"/>
        <v>0</v>
      </c>
      <c r="G43" s="40">
        <f t="shared" si="7"/>
        <v>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7"/>
        <v>0</v>
      </c>
      <c r="N43" s="40">
        <f t="shared" si="7"/>
        <v>0</v>
      </c>
      <c r="O43" s="40">
        <f t="shared" si="7"/>
        <v>0</v>
      </c>
      <c r="P43" s="40">
        <f t="shared" si="7"/>
        <v>0</v>
      </c>
      <c r="Q43" s="40">
        <f>SUM(B43:P43)</f>
        <v>0</v>
      </c>
    </row>
    <row r="44" spans="1:17" s="39" customFormat="1" ht="21.75">
      <c r="A44" s="464" t="s">
        <v>20</v>
      </c>
      <c r="B44" s="465">
        <f>0</f>
        <v>0</v>
      </c>
      <c r="C44" s="465">
        <v>0</v>
      </c>
      <c r="D44" s="465">
        <f>0</f>
        <v>0</v>
      </c>
      <c r="E44" s="465">
        <f>0</f>
        <v>0</v>
      </c>
      <c r="F44" s="465">
        <f>0</f>
        <v>0</v>
      </c>
      <c r="G44" s="465">
        <f>0</f>
        <v>0</v>
      </c>
      <c r="H44" s="465">
        <f>0</f>
        <v>0</v>
      </c>
      <c r="I44" s="465">
        <v>0</v>
      </c>
      <c r="J44" s="465">
        <v>0</v>
      </c>
      <c r="K44" s="465">
        <f>0</f>
        <v>0</v>
      </c>
      <c r="L44" s="465">
        <v>0</v>
      </c>
      <c r="M44" s="465">
        <f>0</f>
        <v>0</v>
      </c>
      <c r="N44" s="465">
        <f>0</f>
        <v>0</v>
      </c>
      <c r="O44" s="465">
        <f>0</f>
        <v>0</v>
      </c>
      <c r="P44" s="465">
        <f>0</f>
        <v>0</v>
      </c>
      <c r="Q44" s="41">
        <f>SUM(B44:P44)</f>
        <v>0</v>
      </c>
    </row>
    <row r="45" spans="1:17" ht="21.75">
      <c r="A45" s="466" t="s">
        <v>280</v>
      </c>
      <c r="B45" s="40"/>
      <c r="C45" s="461"/>
      <c r="D45" s="462"/>
      <c r="E45" s="40"/>
      <c r="F45" s="40"/>
      <c r="G45" s="40"/>
      <c r="H45" s="40"/>
      <c r="I45" s="40"/>
      <c r="J45" s="40"/>
      <c r="K45" s="462"/>
      <c r="L45" s="462"/>
      <c r="M45" s="40"/>
      <c r="N45" s="461"/>
      <c r="O45" s="40"/>
      <c r="P45" s="40"/>
      <c r="Q45" s="40"/>
    </row>
    <row r="46" spans="1:17" ht="21.75">
      <c r="A46" s="478">
        <v>420700</v>
      </c>
      <c r="B46" s="40"/>
      <c r="C46" s="461">
        <v>0</v>
      </c>
      <c r="D46" s="462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62">
        <v>0</v>
      </c>
      <c r="L46" s="462">
        <v>0</v>
      </c>
      <c r="M46" s="40">
        <v>0</v>
      </c>
      <c r="N46" s="461">
        <v>0</v>
      </c>
      <c r="O46" s="40">
        <v>0</v>
      </c>
      <c r="P46" s="40">
        <v>0</v>
      </c>
      <c r="Q46" s="40">
        <f>SUM(B46:P46)</f>
        <v>0</v>
      </c>
    </row>
    <row r="47" spans="1:17" ht="21.75">
      <c r="A47" s="463" t="s">
        <v>19</v>
      </c>
      <c r="B47" s="40">
        <f aca="true" t="shared" si="8" ref="B47:P47">SUM(B46:B46)</f>
        <v>0</v>
      </c>
      <c r="C47" s="40">
        <f t="shared" si="8"/>
        <v>0</v>
      </c>
      <c r="D47" s="40">
        <f t="shared" si="8"/>
        <v>0</v>
      </c>
      <c r="E47" s="40">
        <f t="shared" si="8"/>
        <v>0</v>
      </c>
      <c r="F47" s="40">
        <f t="shared" si="8"/>
        <v>0</v>
      </c>
      <c r="G47" s="40">
        <f t="shared" si="8"/>
        <v>0</v>
      </c>
      <c r="H47" s="40">
        <f t="shared" si="8"/>
        <v>0</v>
      </c>
      <c r="I47" s="40">
        <f t="shared" si="8"/>
        <v>0</v>
      </c>
      <c r="J47" s="40">
        <f t="shared" si="8"/>
        <v>0</v>
      </c>
      <c r="K47" s="40">
        <f t="shared" si="8"/>
        <v>0</v>
      </c>
      <c r="L47" s="40">
        <f t="shared" si="8"/>
        <v>0</v>
      </c>
      <c r="M47" s="40">
        <f t="shared" si="8"/>
        <v>0</v>
      </c>
      <c r="N47" s="40">
        <f t="shared" si="8"/>
        <v>0</v>
      </c>
      <c r="O47" s="40">
        <f t="shared" si="8"/>
        <v>0</v>
      </c>
      <c r="P47" s="40">
        <f t="shared" si="8"/>
        <v>0</v>
      </c>
      <c r="Q47" s="40">
        <f>SUM(B47:P47)</f>
        <v>0</v>
      </c>
    </row>
    <row r="48" spans="1:17" s="39" customFormat="1" ht="21.75">
      <c r="A48" s="464" t="s">
        <v>20</v>
      </c>
      <c r="B48" s="465">
        <f>0</f>
        <v>0</v>
      </c>
      <c r="C48" s="465">
        <v>0</v>
      </c>
      <c r="D48" s="465">
        <v>0</v>
      </c>
      <c r="E48" s="465">
        <f>0</f>
        <v>0</v>
      </c>
      <c r="F48" s="465">
        <f>0</f>
        <v>0</v>
      </c>
      <c r="G48" s="465">
        <f>0</f>
        <v>0</v>
      </c>
      <c r="H48" s="465">
        <f>0</f>
        <v>0</v>
      </c>
      <c r="I48" s="465">
        <f>0</f>
        <v>0</v>
      </c>
      <c r="J48" s="465">
        <f>0</f>
        <v>0</v>
      </c>
      <c r="K48" s="465">
        <f>0</f>
        <v>0</v>
      </c>
      <c r="L48" s="465">
        <v>0</v>
      </c>
      <c r="M48" s="465">
        <f>0</f>
        <v>0</v>
      </c>
      <c r="N48" s="465">
        <f>0</f>
        <v>0</v>
      </c>
      <c r="O48" s="465">
        <f>0</f>
        <v>0</v>
      </c>
      <c r="P48" s="465">
        <f>0</f>
        <v>0</v>
      </c>
      <c r="Q48" s="41">
        <f>SUM(B48:P48)</f>
        <v>0</v>
      </c>
    </row>
    <row r="49" spans="1:17" ht="21.75">
      <c r="A49" s="466" t="s">
        <v>281</v>
      </c>
      <c r="B49" s="40"/>
      <c r="C49" s="461"/>
      <c r="D49" s="462"/>
      <c r="E49" s="40"/>
      <c r="F49" s="40"/>
      <c r="G49" s="40"/>
      <c r="H49" s="40"/>
      <c r="I49" s="40"/>
      <c r="J49" s="40"/>
      <c r="K49" s="462"/>
      <c r="L49" s="462"/>
      <c r="M49" s="40"/>
      <c r="N49" s="461"/>
      <c r="O49" s="40"/>
      <c r="P49" s="40"/>
      <c r="Q49" s="40"/>
    </row>
    <row r="50" spans="1:17" ht="21.75">
      <c r="A50" s="463">
        <v>610100</v>
      </c>
      <c r="B50" s="461">
        <v>0</v>
      </c>
      <c r="C50" s="461">
        <v>0</v>
      </c>
      <c r="D50" s="461">
        <v>0</v>
      </c>
      <c r="E50" s="461">
        <v>0</v>
      </c>
      <c r="F50" s="461">
        <v>0</v>
      </c>
      <c r="G50" s="461">
        <v>0</v>
      </c>
      <c r="H50" s="461">
        <v>0</v>
      </c>
      <c r="I50" s="461">
        <v>0</v>
      </c>
      <c r="J50" s="461">
        <v>0</v>
      </c>
      <c r="K50" s="461">
        <v>0</v>
      </c>
      <c r="L50" s="461">
        <v>0</v>
      </c>
      <c r="M50" s="461">
        <v>0</v>
      </c>
      <c r="N50" s="461">
        <v>0</v>
      </c>
      <c r="O50" s="461">
        <v>0</v>
      </c>
      <c r="P50" s="461">
        <v>0</v>
      </c>
      <c r="Q50" s="40">
        <f>SUM(B50:P50)</f>
        <v>0</v>
      </c>
    </row>
    <row r="51" spans="1:17" ht="21.75">
      <c r="A51" s="463" t="s">
        <v>19</v>
      </c>
      <c r="B51" s="40">
        <f aca="true" t="shared" si="9" ref="B51:P51">SUM(B50:B50)</f>
        <v>0</v>
      </c>
      <c r="C51" s="40">
        <f t="shared" si="9"/>
        <v>0</v>
      </c>
      <c r="D51" s="40">
        <f t="shared" si="9"/>
        <v>0</v>
      </c>
      <c r="E51" s="40">
        <f t="shared" si="9"/>
        <v>0</v>
      </c>
      <c r="F51" s="40">
        <f t="shared" si="9"/>
        <v>0</v>
      </c>
      <c r="G51" s="40">
        <f t="shared" si="9"/>
        <v>0</v>
      </c>
      <c r="H51" s="40">
        <f t="shared" si="9"/>
        <v>0</v>
      </c>
      <c r="I51" s="40">
        <f t="shared" si="9"/>
        <v>0</v>
      </c>
      <c r="J51" s="40">
        <f t="shared" si="9"/>
        <v>0</v>
      </c>
      <c r="K51" s="40">
        <f t="shared" si="9"/>
        <v>0</v>
      </c>
      <c r="L51" s="40">
        <f t="shared" si="9"/>
        <v>0</v>
      </c>
      <c r="M51" s="40">
        <f t="shared" si="9"/>
        <v>0</v>
      </c>
      <c r="N51" s="40">
        <f t="shared" si="9"/>
        <v>0</v>
      </c>
      <c r="O51" s="40">
        <f t="shared" si="9"/>
        <v>0</v>
      </c>
      <c r="P51" s="40">
        <f t="shared" si="9"/>
        <v>0</v>
      </c>
      <c r="Q51" s="40">
        <f>SUM(B51:P51)</f>
        <v>0</v>
      </c>
    </row>
    <row r="52" spans="1:17" s="39" customFormat="1" ht="21.75">
      <c r="A52" s="464" t="s">
        <v>20</v>
      </c>
      <c r="B52" s="465">
        <f>0</f>
        <v>0</v>
      </c>
      <c r="C52" s="465">
        <v>0</v>
      </c>
      <c r="D52" s="465">
        <f>0</f>
        <v>0</v>
      </c>
      <c r="E52" s="465">
        <f>0</f>
        <v>0</v>
      </c>
      <c r="F52" s="465">
        <f>0</f>
        <v>0</v>
      </c>
      <c r="G52" s="465">
        <f>0</f>
        <v>0</v>
      </c>
      <c r="H52" s="465">
        <f>0</f>
        <v>0</v>
      </c>
      <c r="I52" s="465">
        <f>0</f>
        <v>0</v>
      </c>
      <c r="J52" s="465">
        <f>0</f>
        <v>0</v>
      </c>
      <c r="K52" s="465">
        <f>0</f>
        <v>0</v>
      </c>
      <c r="L52" s="465">
        <v>0</v>
      </c>
      <c r="M52" s="465">
        <f>0</f>
        <v>0</v>
      </c>
      <c r="N52" s="465">
        <f>0</f>
        <v>0</v>
      </c>
      <c r="O52" s="465">
        <v>0</v>
      </c>
      <c r="P52" s="465">
        <f>0</f>
        <v>0</v>
      </c>
      <c r="Q52" s="41">
        <f>SUM(B52:P52)</f>
        <v>0</v>
      </c>
    </row>
    <row r="53" spans="1:17" ht="21.75">
      <c r="A53" s="466" t="s">
        <v>282</v>
      </c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0"/>
    </row>
    <row r="54" spans="1:17" ht="21.75">
      <c r="A54" s="463">
        <v>510100</v>
      </c>
      <c r="B54" s="461">
        <v>0</v>
      </c>
      <c r="C54" s="461">
        <v>0</v>
      </c>
      <c r="D54" s="461">
        <v>0</v>
      </c>
      <c r="E54" s="461">
        <v>0</v>
      </c>
      <c r="F54" s="461">
        <v>0</v>
      </c>
      <c r="G54" s="461">
        <v>0</v>
      </c>
      <c r="H54" s="461">
        <v>0</v>
      </c>
      <c r="I54" s="461">
        <v>0</v>
      </c>
      <c r="J54" s="461">
        <v>0</v>
      </c>
      <c r="K54" s="461">
        <v>0</v>
      </c>
      <c r="L54" s="461">
        <v>0</v>
      </c>
      <c r="M54" s="461">
        <v>0</v>
      </c>
      <c r="N54" s="461">
        <v>0</v>
      </c>
      <c r="O54" s="461">
        <v>0</v>
      </c>
      <c r="P54" s="461">
        <v>0</v>
      </c>
      <c r="Q54" s="40">
        <f>SUM(B54:P54)</f>
        <v>0</v>
      </c>
    </row>
    <row r="55" spans="1:17" ht="21.75">
      <c r="A55" s="463" t="s">
        <v>19</v>
      </c>
      <c r="B55" s="461">
        <f aca="true" t="shared" si="10" ref="B55:P55">SUM(B54)</f>
        <v>0</v>
      </c>
      <c r="C55" s="461">
        <f t="shared" si="10"/>
        <v>0</v>
      </c>
      <c r="D55" s="461">
        <f t="shared" si="10"/>
        <v>0</v>
      </c>
      <c r="E55" s="461">
        <f t="shared" si="10"/>
        <v>0</v>
      </c>
      <c r="F55" s="461">
        <f t="shared" si="10"/>
        <v>0</v>
      </c>
      <c r="G55" s="461">
        <f t="shared" si="10"/>
        <v>0</v>
      </c>
      <c r="H55" s="461">
        <f t="shared" si="10"/>
        <v>0</v>
      </c>
      <c r="I55" s="461">
        <f t="shared" si="10"/>
        <v>0</v>
      </c>
      <c r="J55" s="461">
        <f t="shared" si="10"/>
        <v>0</v>
      </c>
      <c r="K55" s="461">
        <f t="shared" si="10"/>
        <v>0</v>
      </c>
      <c r="L55" s="461">
        <f t="shared" si="10"/>
        <v>0</v>
      </c>
      <c r="M55" s="461">
        <f t="shared" si="10"/>
        <v>0</v>
      </c>
      <c r="N55" s="461">
        <f t="shared" si="10"/>
        <v>0</v>
      </c>
      <c r="O55" s="461">
        <f t="shared" si="10"/>
        <v>0</v>
      </c>
      <c r="P55" s="461">
        <f t="shared" si="10"/>
        <v>0</v>
      </c>
      <c r="Q55" s="40">
        <f>SUM(B55:P55)</f>
        <v>0</v>
      </c>
    </row>
    <row r="56" spans="1:17" s="39" customFormat="1" ht="21.75">
      <c r="A56" s="464" t="s">
        <v>20</v>
      </c>
      <c r="B56" s="465">
        <f>0</f>
        <v>0</v>
      </c>
      <c r="C56" s="465">
        <f>0</f>
        <v>0</v>
      </c>
      <c r="D56" s="465">
        <f>0</f>
        <v>0</v>
      </c>
      <c r="E56" s="465">
        <f>0</f>
        <v>0</v>
      </c>
      <c r="F56" s="465">
        <v>0</v>
      </c>
      <c r="G56" s="465">
        <f>0</f>
        <v>0</v>
      </c>
      <c r="H56" s="465">
        <f>0</f>
        <v>0</v>
      </c>
      <c r="I56" s="465">
        <f>0</f>
        <v>0</v>
      </c>
      <c r="J56" s="465">
        <v>0</v>
      </c>
      <c r="K56" s="465">
        <f>0</f>
        <v>0</v>
      </c>
      <c r="L56" s="465">
        <v>0</v>
      </c>
      <c r="M56" s="465">
        <f>0</f>
        <v>0</v>
      </c>
      <c r="N56" s="465"/>
      <c r="O56" s="465">
        <f>0</f>
        <v>0</v>
      </c>
      <c r="P56" s="465">
        <f>0</f>
        <v>0</v>
      </c>
      <c r="Q56" s="41">
        <f>SUM(B56:P56)</f>
        <v>0</v>
      </c>
    </row>
    <row r="57" spans="1:17" ht="21.75">
      <c r="A57" s="463" t="s">
        <v>73</v>
      </c>
      <c r="B57" s="40">
        <f aca="true" t="shared" si="11" ref="B57:P57">B8+B12+B16+B20+B24+B28+B39+B43+B47+B51+B55</f>
        <v>0</v>
      </c>
      <c r="C57" s="40">
        <f t="shared" si="11"/>
        <v>0</v>
      </c>
      <c r="D57" s="40">
        <f t="shared" si="11"/>
        <v>0</v>
      </c>
      <c r="E57" s="40">
        <f t="shared" si="11"/>
        <v>0</v>
      </c>
      <c r="F57" s="40">
        <f t="shared" si="11"/>
        <v>0</v>
      </c>
      <c r="G57" s="40">
        <f t="shared" si="11"/>
        <v>0</v>
      </c>
      <c r="H57" s="40">
        <f t="shared" si="11"/>
        <v>0</v>
      </c>
      <c r="I57" s="40">
        <f t="shared" si="11"/>
        <v>0</v>
      </c>
      <c r="J57" s="40">
        <f t="shared" si="11"/>
        <v>0</v>
      </c>
      <c r="K57" s="40">
        <f t="shared" si="11"/>
        <v>48244.5</v>
      </c>
      <c r="L57" s="40">
        <f t="shared" si="11"/>
        <v>0</v>
      </c>
      <c r="M57" s="40">
        <f t="shared" si="11"/>
        <v>0</v>
      </c>
      <c r="N57" s="40">
        <f t="shared" si="11"/>
        <v>0</v>
      </c>
      <c r="O57" s="40">
        <f t="shared" si="11"/>
        <v>0</v>
      </c>
      <c r="P57" s="40">
        <f t="shared" si="11"/>
        <v>0</v>
      </c>
      <c r="Q57" s="40">
        <f>SUM(B57:P57)</f>
        <v>48244.5</v>
      </c>
    </row>
    <row r="58" spans="1:17" s="39" customFormat="1" ht="21.75">
      <c r="A58" s="464" t="s">
        <v>104</v>
      </c>
      <c r="B58" s="41">
        <f aca="true" t="shared" si="12" ref="B58:P58">B9+B13+B17+B21+B25+B29+B40+B44+B48+B52+B56</f>
        <v>0</v>
      </c>
      <c r="C58" s="41">
        <f t="shared" si="12"/>
        <v>0</v>
      </c>
      <c r="D58" s="41">
        <f t="shared" si="12"/>
        <v>0</v>
      </c>
      <c r="E58" s="41">
        <f t="shared" si="12"/>
        <v>0</v>
      </c>
      <c r="F58" s="41">
        <f t="shared" si="12"/>
        <v>0</v>
      </c>
      <c r="G58" s="41">
        <f t="shared" si="12"/>
        <v>0</v>
      </c>
      <c r="H58" s="41">
        <f t="shared" si="12"/>
        <v>0</v>
      </c>
      <c r="I58" s="41">
        <f t="shared" si="12"/>
        <v>0</v>
      </c>
      <c r="J58" s="41">
        <f t="shared" si="12"/>
        <v>0</v>
      </c>
      <c r="K58" s="41">
        <f t="shared" si="12"/>
        <v>48244.5</v>
      </c>
      <c r="L58" s="41">
        <f t="shared" si="12"/>
        <v>0</v>
      </c>
      <c r="M58" s="41">
        <f t="shared" si="12"/>
        <v>0</v>
      </c>
      <c r="N58" s="41">
        <f t="shared" si="12"/>
        <v>0</v>
      </c>
      <c r="O58" s="41">
        <f t="shared" si="12"/>
        <v>0</v>
      </c>
      <c r="P58" s="41">
        <f t="shared" si="12"/>
        <v>0</v>
      </c>
      <c r="Q58" s="41">
        <f>SUM(B58:P58)</f>
        <v>48244.5</v>
      </c>
    </row>
    <row r="59" spans="1:17" s="39" customFormat="1" ht="21.75">
      <c r="A59" s="479"/>
      <c r="B59" s="480"/>
      <c r="C59" s="480"/>
      <c r="D59" s="434" t="s">
        <v>7</v>
      </c>
      <c r="E59" s="434"/>
      <c r="F59" s="434"/>
      <c r="G59" s="434"/>
      <c r="H59" s="95"/>
      <c r="I59" s="95"/>
      <c r="J59" s="95"/>
      <c r="K59" s="434" t="s">
        <v>101</v>
      </c>
      <c r="L59" s="434"/>
      <c r="M59" s="434"/>
      <c r="N59" s="480"/>
      <c r="O59" s="480"/>
      <c r="P59" s="480"/>
      <c r="Q59" s="481"/>
    </row>
    <row r="60" spans="1:17" s="39" customFormat="1" ht="21.75">
      <c r="A60" s="55"/>
      <c r="B60" s="56"/>
      <c r="C60" s="56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56"/>
      <c r="O60" s="56"/>
      <c r="P60" s="56"/>
      <c r="Q60" s="94"/>
    </row>
    <row r="61" spans="1:17" s="96" customFormat="1" ht="21.75">
      <c r="A61" s="55"/>
      <c r="B61" s="56"/>
      <c r="C61" s="56"/>
      <c r="D61" s="433" t="s">
        <v>119</v>
      </c>
      <c r="E61" s="433"/>
      <c r="F61" s="433"/>
      <c r="G61" s="433"/>
      <c r="H61" s="95"/>
      <c r="I61" s="95"/>
      <c r="J61" s="95"/>
      <c r="K61" s="433" t="s">
        <v>102</v>
      </c>
      <c r="L61" s="433"/>
      <c r="M61" s="433"/>
      <c r="N61" s="56"/>
      <c r="O61" s="56"/>
      <c r="P61" s="56"/>
      <c r="Q61" s="94"/>
    </row>
    <row r="62" spans="1:17" ht="21.75">
      <c r="A62" s="58"/>
      <c r="B62" s="35"/>
      <c r="C62" s="35"/>
      <c r="D62" s="433" t="s">
        <v>111</v>
      </c>
      <c r="E62" s="433"/>
      <c r="F62" s="433"/>
      <c r="G62" s="433"/>
      <c r="H62" s="95"/>
      <c r="I62" s="95"/>
      <c r="J62" s="95"/>
      <c r="K62" s="433" t="s">
        <v>100</v>
      </c>
      <c r="L62" s="433"/>
      <c r="M62" s="433"/>
      <c r="N62" s="35"/>
      <c r="O62" s="35"/>
      <c r="P62" s="35"/>
      <c r="Q62" s="36"/>
    </row>
  </sheetData>
  <mergeCells count="26">
    <mergeCell ref="A1:Q1"/>
    <mergeCell ref="A2:Q2"/>
    <mergeCell ref="A3:Q3"/>
    <mergeCell ref="A34:Q34"/>
    <mergeCell ref="G4:H4"/>
    <mergeCell ref="I4:J4"/>
    <mergeCell ref="K30:M30"/>
    <mergeCell ref="K4:L4"/>
    <mergeCell ref="C4:D4"/>
    <mergeCell ref="E4:F4"/>
    <mergeCell ref="D62:G62"/>
    <mergeCell ref="D32:G32"/>
    <mergeCell ref="D33:G33"/>
    <mergeCell ref="K62:M62"/>
    <mergeCell ref="K59:M59"/>
    <mergeCell ref="E35:F35"/>
    <mergeCell ref="C35:D35"/>
    <mergeCell ref="I35:J35"/>
    <mergeCell ref="G35:H35"/>
    <mergeCell ref="K35:L35"/>
    <mergeCell ref="D30:G30"/>
    <mergeCell ref="K32:M32"/>
    <mergeCell ref="D59:G59"/>
    <mergeCell ref="K61:M61"/>
    <mergeCell ref="D61:G61"/>
    <mergeCell ref="K33:M33"/>
  </mergeCells>
  <printOptions/>
  <pageMargins left="0.7480314960629921" right="0.31496062992125984" top="0" bottom="0" header="0.5511811023622047" footer="0.5118110236220472"/>
  <pageSetup horizontalDpi="180" verticalDpi="18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Normal="90" zoomScaleSheetLayoutView="100" workbookViewId="0" topLeftCell="A1">
      <selection activeCell="H19" sqref="H19"/>
    </sheetView>
  </sheetViews>
  <sheetFormatPr defaultColWidth="9.140625" defaultRowHeight="21.75"/>
  <cols>
    <col min="1" max="1" width="16.8515625" style="177" customWidth="1"/>
    <col min="2" max="3" width="10.28125" style="177" bestFit="1" customWidth="1"/>
    <col min="4" max="4" width="6.00390625" style="177" bestFit="1" customWidth="1"/>
    <col min="5" max="5" width="11.28125" style="177" bestFit="1" customWidth="1"/>
    <col min="6" max="6" width="11.421875" style="177" bestFit="1" customWidth="1"/>
    <col min="7" max="7" width="8.7109375" style="177" customWidth="1"/>
    <col min="8" max="8" width="9.7109375" style="177" customWidth="1"/>
    <col min="9" max="9" width="11.421875" style="177" bestFit="1" customWidth="1"/>
    <col min="10" max="10" width="13.00390625" style="177" bestFit="1" customWidth="1"/>
    <col min="11" max="11" width="8.00390625" style="177" customWidth="1"/>
    <col min="12" max="12" width="9.28125" style="177" customWidth="1"/>
    <col min="13" max="13" width="9.28125" style="177" bestFit="1" customWidth="1"/>
    <col min="14" max="14" width="11.7109375" style="177" customWidth="1"/>
    <col min="15" max="15" width="6.00390625" style="177" bestFit="1" customWidth="1"/>
    <col min="16" max="16" width="12.8515625" style="177" bestFit="1" customWidth="1"/>
    <col min="17" max="16384" width="9.140625" style="177" customWidth="1"/>
  </cols>
  <sheetData>
    <row r="1" spans="1:16" ht="21" customHeight="1">
      <c r="A1" s="427" t="s">
        <v>14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ht="23.25" customHeight="1">
      <c r="A2" s="427" t="s">
        <v>108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16" ht="21.75" customHeight="1" thickBot="1">
      <c r="A3" s="428" t="s">
        <v>272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6" s="323" customFormat="1" ht="21.75">
      <c r="A4" s="42" t="s">
        <v>16</v>
      </c>
      <c r="B4" s="430" t="s">
        <v>82</v>
      </c>
      <c r="C4" s="431"/>
      <c r="D4" s="430" t="s">
        <v>85</v>
      </c>
      <c r="E4" s="431"/>
      <c r="F4" s="43" t="s">
        <v>91</v>
      </c>
      <c r="G4" s="43" t="s">
        <v>92</v>
      </c>
      <c r="H4" s="44" t="s">
        <v>95</v>
      </c>
      <c r="I4" s="430" t="s">
        <v>86</v>
      </c>
      <c r="J4" s="431"/>
      <c r="K4" s="45" t="s">
        <v>96</v>
      </c>
      <c r="L4" s="430" t="s">
        <v>87</v>
      </c>
      <c r="M4" s="432"/>
      <c r="N4" s="45" t="s">
        <v>99</v>
      </c>
      <c r="O4" s="43" t="s">
        <v>80</v>
      </c>
      <c r="P4" s="53" t="s">
        <v>17</v>
      </c>
    </row>
    <row r="5" spans="1:16" s="323" customFormat="1" ht="22.5" thickBot="1">
      <c r="A5" s="47" t="s">
        <v>18</v>
      </c>
      <c r="B5" s="49" t="s">
        <v>83</v>
      </c>
      <c r="C5" s="50" t="s">
        <v>84</v>
      </c>
      <c r="D5" s="48" t="s">
        <v>76</v>
      </c>
      <c r="E5" s="48" t="s">
        <v>77</v>
      </c>
      <c r="F5" s="49" t="s">
        <v>90</v>
      </c>
      <c r="G5" s="49" t="s">
        <v>93</v>
      </c>
      <c r="H5" s="51" t="s">
        <v>94</v>
      </c>
      <c r="I5" s="48" t="s">
        <v>78</v>
      </c>
      <c r="J5" s="48" t="s">
        <v>79</v>
      </c>
      <c r="K5" s="52" t="s">
        <v>97</v>
      </c>
      <c r="L5" s="50" t="s">
        <v>88</v>
      </c>
      <c r="M5" s="38" t="s">
        <v>89</v>
      </c>
      <c r="N5" s="52" t="s">
        <v>98</v>
      </c>
      <c r="O5" s="48" t="s">
        <v>81</v>
      </c>
      <c r="P5" s="318"/>
    </row>
    <row r="6" spans="1:16" ht="21.75">
      <c r="A6" s="54" t="s">
        <v>240</v>
      </c>
      <c r="B6" s="26"/>
      <c r="C6" s="27"/>
      <c r="D6" s="26"/>
      <c r="E6" s="26"/>
      <c r="F6" s="27"/>
      <c r="G6" s="27"/>
      <c r="H6" s="28"/>
      <c r="I6" s="26"/>
      <c r="J6" s="26"/>
      <c r="K6" s="309"/>
      <c r="L6" s="26"/>
      <c r="M6" s="28"/>
      <c r="N6" s="309"/>
      <c r="O6" s="26"/>
      <c r="P6" s="309"/>
    </row>
    <row r="7" spans="1:16" ht="21.75">
      <c r="A7" s="310" t="s">
        <v>153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11">
        <f>SUM(B7:O7)</f>
        <v>0</v>
      </c>
    </row>
    <row r="8" spans="1:16" ht="21.75">
      <c r="A8" s="20" t="s">
        <v>19</v>
      </c>
      <c r="B8" s="29">
        <f aca="true" t="shared" si="0" ref="B8:O8">SUM(B7:B7)</f>
        <v>0</v>
      </c>
      <c r="C8" s="29">
        <f t="shared" si="0"/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311">
        <f>SUM(B8:O8)</f>
        <v>0</v>
      </c>
    </row>
    <row r="9" spans="1:16" ht="21.75">
      <c r="A9" s="20" t="s">
        <v>20</v>
      </c>
      <c r="B9" s="29">
        <f>0</f>
        <v>0</v>
      </c>
      <c r="C9" s="29">
        <f>0</f>
        <v>0</v>
      </c>
      <c r="D9" s="29">
        <f>0</f>
        <v>0</v>
      </c>
      <c r="E9" s="29">
        <f>0</f>
        <v>0</v>
      </c>
      <c r="F9" s="29">
        <f>0</f>
        <v>0</v>
      </c>
      <c r="G9" s="29">
        <f>0</f>
        <v>0</v>
      </c>
      <c r="H9" s="29">
        <f>0</f>
        <v>0</v>
      </c>
      <c r="I9" s="29">
        <f>0</f>
        <v>0</v>
      </c>
      <c r="J9" s="29">
        <f>0</f>
        <v>0</v>
      </c>
      <c r="K9" s="29">
        <f>0</f>
        <v>0</v>
      </c>
      <c r="L9" s="29">
        <f>0</f>
        <v>0</v>
      </c>
      <c r="M9" s="29">
        <f>0</f>
        <v>0</v>
      </c>
      <c r="N9" s="29">
        <f>0</f>
        <v>0</v>
      </c>
      <c r="O9" s="29">
        <v>0</v>
      </c>
      <c r="P9" s="311">
        <f>SUM(B9:O9)</f>
        <v>0</v>
      </c>
    </row>
    <row r="10" spans="1:16" ht="21.75">
      <c r="A10" s="21">
        <v>521000</v>
      </c>
      <c r="B10" s="30"/>
      <c r="C10" s="31"/>
      <c r="D10" s="30"/>
      <c r="E10" s="30"/>
      <c r="F10" s="31"/>
      <c r="G10" s="31"/>
      <c r="H10" s="30"/>
      <c r="I10" s="30"/>
      <c r="J10" s="30"/>
      <c r="K10" s="311"/>
      <c r="L10" s="30"/>
      <c r="M10" s="30"/>
      <c r="N10" s="311"/>
      <c r="O10" s="29"/>
      <c r="P10" s="311"/>
    </row>
    <row r="11" spans="1:16" ht="21.75">
      <c r="A11" s="312">
        <v>210100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11">
        <f>SUM(B11:O11)</f>
        <v>0</v>
      </c>
    </row>
    <row r="12" spans="1:16" ht="21.75">
      <c r="A12" s="20" t="s">
        <v>19</v>
      </c>
      <c r="B12" s="29">
        <f aca="true" t="shared" si="1" ref="B12:O12">SUM(B11:B11)</f>
        <v>0</v>
      </c>
      <c r="C12" s="29">
        <f t="shared" si="1"/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311">
        <f>SUM(B12:O12)</f>
        <v>0</v>
      </c>
    </row>
    <row r="13" spans="1:16" ht="21.75">
      <c r="A13" s="20" t="s">
        <v>20</v>
      </c>
      <c r="B13" s="29">
        <v>0</v>
      </c>
      <c r="C13" s="29">
        <v>0</v>
      </c>
      <c r="D13" s="29">
        <f>0</f>
        <v>0</v>
      </c>
      <c r="E13" s="29">
        <f>0</f>
        <v>0</v>
      </c>
      <c r="F13" s="29">
        <f>0</f>
        <v>0</v>
      </c>
      <c r="G13" s="29">
        <f>0</f>
        <v>0</v>
      </c>
      <c r="H13" s="29">
        <f>0</f>
        <v>0</v>
      </c>
      <c r="I13" s="29">
        <v>0</v>
      </c>
      <c r="J13" s="29">
        <f>0</f>
        <v>0</v>
      </c>
      <c r="K13" s="29">
        <f>0</f>
        <v>0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311">
        <f>SUM(B13:O13)</f>
        <v>0</v>
      </c>
    </row>
    <row r="14" spans="1:16" ht="21.75">
      <c r="A14" s="21">
        <v>522000</v>
      </c>
      <c r="B14" s="29"/>
      <c r="C14" s="32"/>
      <c r="D14" s="30"/>
      <c r="E14" s="30"/>
      <c r="F14" s="31"/>
      <c r="G14" s="31"/>
      <c r="H14" s="30"/>
      <c r="I14" s="30"/>
      <c r="J14" s="29"/>
      <c r="K14" s="311"/>
      <c r="L14" s="30"/>
      <c r="M14" s="30"/>
      <c r="N14" s="311"/>
      <c r="O14" s="29"/>
      <c r="P14" s="311"/>
    </row>
    <row r="15" spans="1:16" ht="21.75">
      <c r="A15" s="312">
        <v>220100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11">
        <f>SUM(B15:O15)</f>
        <v>0</v>
      </c>
    </row>
    <row r="16" spans="1:16" ht="21.75">
      <c r="A16" s="20" t="s">
        <v>19</v>
      </c>
      <c r="B16" s="29">
        <f aca="true" t="shared" si="2" ref="B16:O16">B15</f>
        <v>0</v>
      </c>
      <c r="C16" s="29">
        <f t="shared" si="2"/>
        <v>0</v>
      </c>
      <c r="D16" s="29">
        <f t="shared" si="2"/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311">
        <f>SUM(B16:O16)</f>
        <v>0</v>
      </c>
    </row>
    <row r="17" spans="1:16" ht="21.75">
      <c r="A17" s="20" t="s">
        <v>20</v>
      </c>
      <c r="B17" s="29">
        <v>0</v>
      </c>
      <c r="C17" s="29">
        <v>0</v>
      </c>
      <c r="D17" s="29">
        <f>0</f>
        <v>0</v>
      </c>
      <c r="E17" s="29">
        <f>0</f>
        <v>0</v>
      </c>
      <c r="F17" s="29">
        <f>0</f>
        <v>0</v>
      </c>
      <c r="G17" s="29">
        <f>0</f>
        <v>0</v>
      </c>
      <c r="H17" s="29">
        <f>0</f>
        <v>0</v>
      </c>
      <c r="I17" s="29">
        <f>0</f>
        <v>0</v>
      </c>
      <c r="J17" s="29">
        <f>0</f>
        <v>0</v>
      </c>
      <c r="K17" s="29">
        <f>0</f>
        <v>0</v>
      </c>
      <c r="L17" s="29">
        <f>0</f>
        <v>0</v>
      </c>
      <c r="M17" s="319">
        <f>0</f>
        <v>0</v>
      </c>
      <c r="N17" s="29">
        <f>0</f>
        <v>0</v>
      </c>
      <c r="O17" s="29">
        <f>0</f>
        <v>0</v>
      </c>
      <c r="P17" s="311">
        <f>SUM(B17:O17)</f>
        <v>0</v>
      </c>
    </row>
    <row r="18" spans="1:16" ht="21.75">
      <c r="A18" s="22">
        <v>531000</v>
      </c>
      <c r="B18" s="33"/>
      <c r="C18" s="34"/>
      <c r="D18" s="26"/>
      <c r="E18" s="26"/>
      <c r="F18" s="27"/>
      <c r="G18" s="27"/>
      <c r="H18" s="26"/>
      <c r="I18" s="26"/>
      <c r="J18" s="33"/>
      <c r="K18" s="311"/>
      <c r="L18" s="26"/>
      <c r="M18" s="30"/>
      <c r="N18" s="311"/>
      <c r="O18" s="33"/>
      <c r="P18" s="311"/>
    </row>
    <row r="19" spans="1:16" ht="21.75">
      <c r="A19" s="312">
        <v>310100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11">
        <f>SUM(B19:O19)</f>
        <v>0</v>
      </c>
    </row>
    <row r="20" spans="1:16" ht="21.75">
      <c r="A20" s="20" t="s">
        <v>19</v>
      </c>
      <c r="B20" s="29">
        <f aca="true" t="shared" si="3" ref="B20:O20">SUM(B19:B19)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311">
        <f>SUM(B20:O20)</f>
        <v>0</v>
      </c>
    </row>
    <row r="21" spans="1:16" ht="21.75">
      <c r="A21" s="20" t="s">
        <v>20</v>
      </c>
      <c r="B21" s="29">
        <v>0</v>
      </c>
      <c r="C21" s="29">
        <v>0</v>
      </c>
      <c r="D21" s="29">
        <f>0</f>
        <v>0</v>
      </c>
      <c r="E21" s="29">
        <f>0</f>
        <v>0</v>
      </c>
      <c r="F21" s="29">
        <f>0</f>
        <v>0</v>
      </c>
      <c r="G21" s="29">
        <f>0</f>
        <v>0</v>
      </c>
      <c r="H21" s="29">
        <f>0</f>
        <v>0</v>
      </c>
      <c r="I21" s="29"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311">
        <f>SUM(B21:O21)</f>
        <v>0</v>
      </c>
    </row>
    <row r="22" spans="1:16" ht="21.75">
      <c r="A22" s="21">
        <v>532000</v>
      </c>
      <c r="B22" s="29"/>
      <c r="C22" s="32"/>
      <c r="D22" s="30"/>
      <c r="E22" s="30"/>
      <c r="F22" s="31"/>
      <c r="G22" s="31"/>
      <c r="H22" s="29"/>
      <c r="I22" s="30"/>
      <c r="J22" s="29"/>
      <c r="K22" s="311"/>
      <c r="L22" s="30"/>
      <c r="M22" s="30"/>
      <c r="N22" s="311"/>
      <c r="O22" s="29"/>
      <c r="P22" s="311"/>
    </row>
    <row r="23" spans="1:16" ht="21.75">
      <c r="A23" s="312">
        <v>320100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311">
        <f>SUM(B23:O23)</f>
        <v>0</v>
      </c>
    </row>
    <row r="24" spans="1:16" ht="21.75">
      <c r="A24" s="20" t="s">
        <v>19</v>
      </c>
      <c r="B24" s="29">
        <f aca="true" t="shared" si="4" ref="B24:O24">SUM(B23:B23)</f>
        <v>0</v>
      </c>
      <c r="C24" s="29">
        <f t="shared" si="4"/>
        <v>0</v>
      </c>
      <c r="D24" s="29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29">
        <f t="shared" si="4"/>
        <v>0</v>
      </c>
      <c r="P24" s="311">
        <f>SUM(B24:O24)</f>
        <v>0</v>
      </c>
    </row>
    <row r="25" spans="1:16" ht="21.75">
      <c r="A25" s="324" t="s">
        <v>20</v>
      </c>
      <c r="B25" s="29">
        <v>0</v>
      </c>
      <c r="C25" s="29">
        <f>0</f>
        <v>0</v>
      </c>
      <c r="D25" s="29">
        <f>0</f>
        <v>0</v>
      </c>
      <c r="E25" s="29">
        <f>0</f>
        <v>0</v>
      </c>
      <c r="F25" s="29">
        <f>0</f>
        <v>0</v>
      </c>
      <c r="G25" s="29">
        <f>0</f>
        <v>0</v>
      </c>
      <c r="H25" s="29">
        <f>0</f>
        <v>0</v>
      </c>
      <c r="I25" s="29">
        <v>0</v>
      </c>
      <c r="J25" s="29">
        <f>0</f>
        <v>0</v>
      </c>
      <c r="K25" s="29">
        <f>0</f>
        <v>0</v>
      </c>
      <c r="L25" s="29">
        <f>0</f>
        <v>0</v>
      </c>
      <c r="M25" s="29">
        <f>0</f>
        <v>0</v>
      </c>
      <c r="N25" s="29">
        <f>0</f>
        <v>0</v>
      </c>
      <c r="O25" s="29">
        <f>0</f>
        <v>0</v>
      </c>
      <c r="P25" s="311">
        <f>SUM(B25:O25)</f>
        <v>0</v>
      </c>
    </row>
    <row r="26" spans="1:16" ht="21.75">
      <c r="A26" s="21">
        <v>533000</v>
      </c>
      <c r="B26" s="29"/>
      <c r="C26" s="34"/>
      <c r="D26" s="26"/>
      <c r="E26" s="29"/>
      <c r="F26" s="32"/>
      <c r="G26" s="27"/>
      <c r="H26" s="29"/>
      <c r="I26" s="29"/>
      <c r="J26" s="29"/>
      <c r="K26" s="311"/>
      <c r="L26" s="37"/>
      <c r="M26" s="33"/>
      <c r="N26" s="311"/>
      <c r="O26" s="33"/>
      <c r="P26" s="311"/>
    </row>
    <row r="27" spans="1:16" ht="21.75">
      <c r="A27" s="312">
        <v>331700</v>
      </c>
      <c r="B27" s="29">
        <v>0</v>
      </c>
      <c r="C27" s="29">
        <v>0</v>
      </c>
      <c r="D27" s="29">
        <v>0</v>
      </c>
      <c r="E27" s="29">
        <v>0</v>
      </c>
      <c r="F27" s="29">
        <v>322851.5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11">
        <f>SUM(B27:O27)</f>
        <v>322851.5</v>
      </c>
    </row>
    <row r="28" spans="1:16" ht="21.75">
      <c r="A28" s="20" t="s">
        <v>19</v>
      </c>
      <c r="B28" s="29">
        <f aca="true" t="shared" si="5" ref="B28:N28">SUM(B27)</f>
        <v>0</v>
      </c>
      <c r="C28" s="29">
        <f t="shared" si="5"/>
        <v>0</v>
      </c>
      <c r="D28" s="29">
        <f t="shared" si="5"/>
        <v>0</v>
      </c>
      <c r="E28" s="29">
        <f t="shared" si="5"/>
        <v>0</v>
      </c>
      <c r="F28" s="29">
        <f t="shared" si="5"/>
        <v>322851.5</v>
      </c>
      <c r="G28" s="29">
        <f t="shared" si="5"/>
        <v>0</v>
      </c>
      <c r="H28" s="29">
        <f t="shared" si="5"/>
        <v>0</v>
      </c>
      <c r="I28" s="29">
        <f t="shared" si="5"/>
        <v>0</v>
      </c>
      <c r="J28" s="29">
        <f t="shared" si="5"/>
        <v>0</v>
      </c>
      <c r="K28" s="29">
        <f t="shared" si="5"/>
        <v>0</v>
      </c>
      <c r="L28" s="29">
        <f t="shared" si="5"/>
        <v>0</v>
      </c>
      <c r="M28" s="29">
        <f t="shared" si="5"/>
        <v>0</v>
      </c>
      <c r="N28" s="29">
        <f t="shared" si="5"/>
        <v>0</v>
      </c>
      <c r="O28" s="29">
        <f>SUM(O27)</f>
        <v>0</v>
      </c>
      <c r="P28" s="311">
        <f>SUM(B28:O28)</f>
        <v>322851.5</v>
      </c>
    </row>
    <row r="29" spans="1:16" ht="21.75">
      <c r="A29" s="20" t="s">
        <v>20</v>
      </c>
      <c r="B29" s="29">
        <v>0</v>
      </c>
      <c r="C29" s="29">
        <v>0</v>
      </c>
      <c r="D29" s="29">
        <f>0</f>
        <v>0</v>
      </c>
      <c r="E29" s="29">
        <f>0</f>
        <v>0</v>
      </c>
      <c r="F29" s="29">
        <f>10800+322851.5</f>
        <v>333651.5</v>
      </c>
      <c r="G29" s="29">
        <f>0</f>
        <v>0</v>
      </c>
      <c r="H29" s="29">
        <f>0</f>
        <v>0</v>
      </c>
      <c r="I29" s="29"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311">
        <f>SUM(B29:O29)</f>
        <v>333651.5</v>
      </c>
    </row>
    <row r="30" spans="1:16" ht="21.75">
      <c r="A30" s="213"/>
      <c r="B30" s="35"/>
      <c r="C30" s="35"/>
      <c r="D30" s="35"/>
      <c r="E30" s="436" t="s">
        <v>7</v>
      </c>
      <c r="F30" s="436"/>
      <c r="G30" s="436"/>
      <c r="H30" s="327"/>
      <c r="I30" s="327"/>
      <c r="J30" s="436" t="s">
        <v>101</v>
      </c>
      <c r="K30" s="436"/>
      <c r="L30" s="436"/>
      <c r="M30" s="316"/>
      <c r="N30" s="321"/>
      <c r="O30" s="35"/>
      <c r="P30" s="317"/>
    </row>
    <row r="31" spans="1:16" ht="21.75">
      <c r="A31" s="314"/>
      <c r="B31" s="35"/>
      <c r="C31" s="35"/>
      <c r="D31" s="3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5"/>
      <c r="P31" s="317"/>
    </row>
    <row r="32" spans="1:16" ht="21.75">
      <c r="A32" s="314"/>
      <c r="B32" s="35"/>
      <c r="C32" s="35"/>
      <c r="D32" s="35"/>
      <c r="E32" s="437" t="s">
        <v>119</v>
      </c>
      <c r="F32" s="437"/>
      <c r="G32" s="437"/>
      <c r="H32" s="328"/>
      <c r="I32" s="328"/>
      <c r="J32" s="437" t="s">
        <v>246</v>
      </c>
      <c r="K32" s="437"/>
      <c r="L32" s="437"/>
      <c r="M32" s="316"/>
      <c r="N32" s="315"/>
      <c r="O32" s="35"/>
      <c r="P32" s="317"/>
    </row>
    <row r="33" spans="1:16" ht="21.75">
      <c r="A33" s="314"/>
      <c r="B33" s="35"/>
      <c r="C33" s="35"/>
      <c r="D33" s="35"/>
      <c r="E33" s="437" t="s">
        <v>111</v>
      </c>
      <c r="F33" s="437"/>
      <c r="G33" s="437"/>
      <c r="H33" s="328"/>
      <c r="I33" s="328"/>
      <c r="J33" s="437" t="s">
        <v>100</v>
      </c>
      <c r="K33" s="437"/>
      <c r="L33" s="437"/>
      <c r="M33" s="316"/>
      <c r="N33" s="315"/>
      <c r="O33" s="35"/>
      <c r="P33" s="317"/>
    </row>
    <row r="34" spans="1:16" ht="22.5" thickBot="1">
      <c r="A34" s="435" t="s">
        <v>75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</row>
    <row r="35" spans="1:16" s="323" customFormat="1" ht="21.75">
      <c r="A35" s="42" t="s">
        <v>16</v>
      </c>
      <c r="B35" s="430" t="s">
        <v>82</v>
      </c>
      <c r="C35" s="431"/>
      <c r="D35" s="430" t="s">
        <v>85</v>
      </c>
      <c r="E35" s="431"/>
      <c r="F35" s="43" t="s">
        <v>91</v>
      </c>
      <c r="G35" s="43" t="s">
        <v>92</v>
      </c>
      <c r="H35" s="44" t="s">
        <v>95</v>
      </c>
      <c r="I35" s="430" t="s">
        <v>86</v>
      </c>
      <c r="J35" s="431"/>
      <c r="K35" s="45" t="s">
        <v>96</v>
      </c>
      <c r="L35" s="430" t="s">
        <v>87</v>
      </c>
      <c r="M35" s="432"/>
      <c r="N35" s="45" t="s">
        <v>99</v>
      </c>
      <c r="O35" s="43" t="s">
        <v>80</v>
      </c>
      <c r="P35" s="53" t="s">
        <v>17</v>
      </c>
    </row>
    <row r="36" spans="1:16" s="323" customFormat="1" ht="22.5" thickBot="1">
      <c r="A36" s="47" t="s">
        <v>18</v>
      </c>
      <c r="B36" s="49" t="s">
        <v>83</v>
      </c>
      <c r="C36" s="50" t="s">
        <v>84</v>
      </c>
      <c r="D36" s="48" t="s">
        <v>76</v>
      </c>
      <c r="E36" s="48" t="s">
        <v>77</v>
      </c>
      <c r="F36" s="49" t="s">
        <v>90</v>
      </c>
      <c r="G36" s="49" t="s">
        <v>93</v>
      </c>
      <c r="H36" s="51" t="s">
        <v>94</v>
      </c>
      <c r="I36" s="48" t="s">
        <v>78</v>
      </c>
      <c r="J36" s="48" t="s">
        <v>79</v>
      </c>
      <c r="K36" s="52" t="s">
        <v>97</v>
      </c>
      <c r="L36" s="50" t="s">
        <v>88</v>
      </c>
      <c r="M36" s="38" t="s">
        <v>89</v>
      </c>
      <c r="N36" s="52" t="s">
        <v>98</v>
      </c>
      <c r="O36" s="48" t="s">
        <v>81</v>
      </c>
      <c r="P36" s="318"/>
    </row>
    <row r="37" spans="1:16" ht="21.75">
      <c r="A37" s="21">
        <v>534000</v>
      </c>
      <c r="B37" s="29"/>
      <c r="C37" s="31"/>
      <c r="D37" s="30"/>
      <c r="E37" s="30"/>
      <c r="F37" s="31"/>
      <c r="G37" s="30"/>
      <c r="H37" s="29"/>
      <c r="I37" s="30"/>
      <c r="J37" s="30"/>
      <c r="K37" s="311"/>
      <c r="L37" s="30"/>
      <c r="M37" s="30"/>
      <c r="N37" s="311"/>
      <c r="O37" s="30"/>
      <c r="P37" s="311"/>
    </row>
    <row r="38" spans="1:16" ht="21.75">
      <c r="A38" s="312">
        <v>340100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11">
        <f>SUM(B38:O38)</f>
        <v>0</v>
      </c>
    </row>
    <row r="39" spans="1:16" ht="21.75">
      <c r="A39" s="20" t="s">
        <v>19</v>
      </c>
      <c r="B39" s="30">
        <f aca="true" t="shared" si="6" ref="B39:O39">SUM(B38:B38)</f>
        <v>0</v>
      </c>
      <c r="C39" s="30">
        <f t="shared" si="6"/>
        <v>0</v>
      </c>
      <c r="D39" s="30">
        <f t="shared" si="6"/>
        <v>0</v>
      </c>
      <c r="E39" s="30">
        <f t="shared" si="6"/>
        <v>0</v>
      </c>
      <c r="F39" s="30">
        <f t="shared" si="6"/>
        <v>0</v>
      </c>
      <c r="G39" s="30">
        <f t="shared" si="6"/>
        <v>0</v>
      </c>
      <c r="H39" s="30">
        <f t="shared" si="6"/>
        <v>0</v>
      </c>
      <c r="I39" s="30">
        <f t="shared" si="6"/>
        <v>0</v>
      </c>
      <c r="J39" s="30">
        <f t="shared" si="6"/>
        <v>0</v>
      </c>
      <c r="K39" s="30">
        <f t="shared" si="6"/>
        <v>0</v>
      </c>
      <c r="L39" s="30">
        <f t="shared" si="6"/>
        <v>0</v>
      </c>
      <c r="M39" s="30">
        <f t="shared" si="6"/>
        <v>0</v>
      </c>
      <c r="N39" s="30">
        <f t="shared" si="6"/>
        <v>0</v>
      </c>
      <c r="O39" s="30">
        <f t="shared" si="6"/>
        <v>0</v>
      </c>
      <c r="P39" s="311">
        <f>SUM(B39:O39)</f>
        <v>0</v>
      </c>
    </row>
    <row r="40" spans="1:16" ht="21.75">
      <c r="A40" s="20" t="s">
        <v>20</v>
      </c>
      <c r="B40" s="29">
        <v>0</v>
      </c>
      <c r="C40" s="29">
        <f>0</f>
        <v>0</v>
      </c>
      <c r="D40" s="29">
        <f>0</f>
        <v>0</v>
      </c>
      <c r="E40" s="29">
        <f>0</f>
        <v>0</v>
      </c>
      <c r="F40" s="29">
        <f>0</f>
        <v>0</v>
      </c>
      <c r="G40" s="29">
        <f>0</f>
        <v>0</v>
      </c>
      <c r="H40" s="29">
        <f>0</f>
        <v>0</v>
      </c>
      <c r="I40" s="29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311">
        <f>SUM(B40:O40)</f>
        <v>0</v>
      </c>
    </row>
    <row r="41" spans="1:16" ht="21.75">
      <c r="A41" s="21">
        <v>541000</v>
      </c>
      <c r="B41" s="29"/>
      <c r="C41" s="31"/>
      <c r="D41" s="30"/>
      <c r="E41" s="30"/>
      <c r="F41" s="31"/>
      <c r="G41" s="30"/>
      <c r="H41" s="29"/>
      <c r="I41" s="30"/>
      <c r="J41" s="30"/>
      <c r="K41" s="311"/>
      <c r="L41" s="30"/>
      <c r="M41" s="30"/>
      <c r="N41" s="311"/>
      <c r="O41" s="30"/>
      <c r="P41" s="311"/>
    </row>
    <row r="42" spans="1:16" ht="21.75">
      <c r="A42" s="313">
        <v>410100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311">
        <f>SUM(B42:O42)</f>
        <v>0</v>
      </c>
    </row>
    <row r="43" spans="1:16" ht="21.75">
      <c r="A43" s="20" t="s">
        <v>19</v>
      </c>
      <c r="B43" s="30">
        <f aca="true" t="shared" si="7" ref="B43:O43">SUM(B42)</f>
        <v>0</v>
      </c>
      <c r="C43" s="30">
        <f t="shared" si="7"/>
        <v>0</v>
      </c>
      <c r="D43" s="30">
        <f t="shared" si="7"/>
        <v>0</v>
      </c>
      <c r="E43" s="30">
        <f t="shared" si="7"/>
        <v>0</v>
      </c>
      <c r="F43" s="30">
        <f t="shared" si="7"/>
        <v>0</v>
      </c>
      <c r="G43" s="30">
        <f t="shared" si="7"/>
        <v>0</v>
      </c>
      <c r="H43" s="30">
        <f t="shared" si="7"/>
        <v>0</v>
      </c>
      <c r="I43" s="30">
        <f t="shared" si="7"/>
        <v>0</v>
      </c>
      <c r="J43" s="30">
        <f t="shared" si="7"/>
        <v>0</v>
      </c>
      <c r="K43" s="30">
        <f t="shared" si="7"/>
        <v>0</v>
      </c>
      <c r="L43" s="30">
        <f t="shared" si="7"/>
        <v>0</v>
      </c>
      <c r="M43" s="30">
        <f t="shared" si="7"/>
        <v>0</v>
      </c>
      <c r="N43" s="30">
        <f t="shared" si="7"/>
        <v>0</v>
      </c>
      <c r="O43" s="30">
        <f t="shared" si="7"/>
        <v>0</v>
      </c>
      <c r="P43" s="311">
        <f>SUM(B43:O43)</f>
        <v>0</v>
      </c>
    </row>
    <row r="44" spans="1:16" ht="21.75">
      <c r="A44" s="20" t="s">
        <v>20</v>
      </c>
      <c r="B44" s="319">
        <f>0</f>
        <v>0</v>
      </c>
      <c r="C44" s="319">
        <f>0</f>
        <v>0</v>
      </c>
      <c r="D44" s="319">
        <f>0</f>
        <v>0</v>
      </c>
      <c r="E44" s="319">
        <f>0</f>
        <v>0</v>
      </c>
      <c r="F44" s="29">
        <f>0</f>
        <v>0</v>
      </c>
      <c r="G44" s="29">
        <f>0</f>
        <v>0</v>
      </c>
      <c r="H44" s="319">
        <f>0</f>
        <v>0</v>
      </c>
      <c r="I44" s="319">
        <f>0</f>
        <v>0</v>
      </c>
      <c r="J44" s="319">
        <f>0</f>
        <v>0</v>
      </c>
      <c r="K44" s="319">
        <f>0</f>
        <v>0</v>
      </c>
      <c r="L44" s="319">
        <f>0</f>
        <v>0</v>
      </c>
      <c r="M44" s="29">
        <f>0</f>
        <v>0</v>
      </c>
      <c r="N44" s="319">
        <f>0</f>
        <v>0</v>
      </c>
      <c r="O44" s="319">
        <f>0</f>
        <v>0</v>
      </c>
      <c r="P44" s="311">
        <f>SUM(B44:O44)</f>
        <v>0</v>
      </c>
    </row>
    <row r="45" spans="1:16" ht="21.75">
      <c r="A45" s="21">
        <v>542000</v>
      </c>
      <c r="B45" s="29"/>
      <c r="C45" s="31"/>
      <c r="D45" s="30"/>
      <c r="E45" s="30"/>
      <c r="F45" s="31"/>
      <c r="G45" s="30"/>
      <c r="H45" s="29"/>
      <c r="I45" s="30"/>
      <c r="J45" s="30"/>
      <c r="K45" s="311"/>
      <c r="L45" s="30"/>
      <c r="M45" s="30"/>
      <c r="N45" s="311"/>
      <c r="O45" s="30"/>
      <c r="P45" s="311"/>
    </row>
    <row r="46" spans="1:16" ht="21.75">
      <c r="A46" s="20">
        <v>420900</v>
      </c>
      <c r="B46" s="29">
        <v>0</v>
      </c>
      <c r="C46" s="31">
        <v>0</v>
      </c>
      <c r="D46" s="30">
        <v>0</v>
      </c>
      <c r="E46" s="30">
        <v>0</v>
      </c>
      <c r="F46" s="31">
        <v>0</v>
      </c>
      <c r="G46" s="30">
        <v>0</v>
      </c>
      <c r="H46" s="29">
        <v>0</v>
      </c>
      <c r="I46" s="30">
        <v>0</v>
      </c>
      <c r="J46" s="30">
        <v>0</v>
      </c>
      <c r="K46" s="311">
        <v>0</v>
      </c>
      <c r="L46" s="30">
        <v>0</v>
      </c>
      <c r="M46" s="30">
        <v>0</v>
      </c>
      <c r="N46" s="311">
        <v>0</v>
      </c>
      <c r="O46" s="30"/>
      <c r="P46" s="311">
        <f>SUM(B46:O46)</f>
        <v>0</v>
      </c>
    </row>
    <row r="47" spans="1:16" ht="21.75">
      <c r="A47" s="20">
        <v>421000</v>
      </c>
      <c r="B47" s="29">
        <v>0</v>
      </c>
      <c r="C47" s="31">
        <v>0</v>
      </c>
      <c r="D47" s="30">
        <v>0</v>
      </c>
      <c r="E47" s="30">
        <v>0</v>
      </c>
      <c r="F47" s="31">
        <v>0</v>
      </c>
      <c r="G47" s="30">
        <v>0</v>
      </c>
      <c r="H47" s="29">
        <v>0</v>
      </c>
      <c r="I47" s="30">
        <v>0</v>
      </c>
      <c r="J47" s="30">
        <v>0</v>
      </c>
      <c r="K47" s="311">
        <v>0</v>
      </c>
      <c r="L47" s="30">
        <v>0</v>
      </c>
      <c r="M47" s="30">
        <v>0</v>
      </c>
      <c r="N47" s="311">
        <v>0</v>
      </c>
      <c r="O47" s="30"/>
      <c r="P47" s="311">
        <f>SUM(B47:O47)</f>
        <v>0</v>
      </c>
    </row>
    <row r="48" spans="1:16" ht="21.75">
      <c r="A48" s="20" t="s">
        <v>19</v>
      </c>
      <c r="B48" s="30">
        <f>SUM(B46:B47)</f>
        <v>0</v>
      </c>
      <c r="C48" s="30">
        <f aca="true" t="shared" si="8" ref="C48:O48">SUM(C46:C47)</f>
        <v>0</v>
      </c>
      <c r="D48" s="30">
        <f t="shared" si="8"/>
        <v>0</v>
      </c>
      <c r="E48" s="30">
        <f t="shared" si="8"/>
        <v>0</v>
      </c>
      <c r="F48" s="30">
        <f t="shared" si="8"/>
        <v>0</v>
      </c>
      <c r="G48" s="30">
        <f t="shared" si="8"/>
        <v>0</v>
      </c>
      <c r="H48" s="30">
        <f t="shared" si="8"/>
        <v>0</v>
      </c>
      <c r="I48" s="30">
        <f t="shared" si="8"/>
        <v>0</v>
      </c>
      <c r="J48" s="30">
        <f t="shared" si="8"/>
        <v>0</v>
      </c>
      <c r="K48" s="30">
        <f t="shared" si="8"/>
        <v>0</v>
      </c>
      <c r="L48" s="30">
        <f t="shared" si="8"/>
        <v>0</v>
      </c>
      <c r="M48" s="30">
        <f t="shared" si="8"/>
        <v>0</v>
      </c>
      <c r="N48" s="30">
        <f t="shared" si="8"/>
        <v>0</v>
      </c>
      <c r="O48" s="30">
        <f t="shared" si="8"/>
        <v>0</v>
      </c>
      <c r="P48" s="311">
        <f>SUM(B48:O48)</f>
        <v>0</v>
      </c>
    </row>
    <row r="49" spans="1:16" ht="21.75">
      <c r="A49" s="20" t="s">
        <v>20</v>
      </c>
      <c r="B49" s="29">
        <v>0</v>
      </c>
      <c r="C49" s="29">
        <v>0</v>
      </c>
      <c r="D49" s="29">
        <f>0</f>
        <v>0</v>
      </c>
      <c r="E49" s="29">
        <f>0</f>
        <v>0</v>
      </c>
      <c r="F49" s="29">
        <f>0</f>
        <v>0</v>
      </c>
      <c r="G49" s="29">
        <f>0</f>
        <v>0</v>
      </c>
      <c r="H49" s="29">
        <f>0</f>
        <v>0</v>
      </c>
      <c r="I49" s="29">
        <v>149000</v>
      </c>
      <c r="J49" s="29">
        <v>273038.18</v>
      </c>
      <c r="K49" s="29">
        <f>0</f>
        <v>0</v>
      </c>
      <c r="L49" s="29">
        <f>0</f>
        <v>0</v>
      </c>
      <c r="M49" s="29">
        <f>0</f>
        <v>0</v>
      </c>
      <c r="N49" s="29">
        <v>0</v>
      </c>
      <c r="O49" s="29">
        <f>0</f>
        <v>0</v>
      </c>
      <c r="P49" s="311">
        <f>SUM(B49:O49)</f>
        <v>422038.18</v>
      </c>
    </row>
    <row r="50" spans="1:16" ht="21.75">
      <c r="A50" s="21">
        <v>551000</v>
      </c>
      <c r="B50" s="29"/>
      <c r="C50" s="31"/>
      <c r="D50" s="30"/>
      <c r="E50" s="30"/>
      <c r="F50" s="31"/>
      <c r="G50" s="30"/>
      <c r="H50" s="29"/>
      <c r="I50" s="30"/>
      <c r="J50" s="30"/>
      <c r="K50" s="311"/>
      <c r="L50" s="30"/>
      <c r="M50" s="30"/>
      <c r="N50" s="311"/>
      <c r="O50" s="30"/>
      <c r="P50" s="311"/>
    </row>
    <row r="51" spans="1:16" ht="21.75">
      <c r="A51" s="312">
        <v>510100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11">
        <f>SUM(B51:O51)</f>
        <v>0</v>
      </c>
    </row>
    <row r="52" spans="1:16" ht="21.75">
      <c r="A52" s="20" t="s">
        <v>19</v>
      </c>
      <c r="B52" s="30">
        <f aca="true" t="shared" si="9" ref="B52:O52">SUM(B51:B51)</f>
        <v>0</v>
      </c>
      <c r="C52" s="30">
        <f t="shared" si="9"/>
        <v>0</v>
      </c>
      <c r="D52" s="30">
        <f t="shared" si="9"/>
        <v>0</v>
      </c>
      <c r="E52" s="30">
        <f t="shared" si="9"/>
        <v>0</v>
      </c>
      <c r="F52" s="30">
        <f t="shared" si="9"/>
        <v>0</v>
      </c>
      <c r="G52" s="30">
        <f t="shared" si="9"/>
        <v>0</v>
      </c>
      <c r="H52" s="30">
        <f t="shared" si="9"/>
        <v>0</v>
      </c>
      <c r="I52" s="30">
        <f t="shared" si="9"/>
        <v>0</v>
      </c>
      <c r="J52" s="30">
        <f t="shared" si="9"/>
        <v>0</v>
      </c>
      <c r="K52" s="30">
        <f t="shared" si="9"/>
        <v>0</v>
      </c>
      <c r="L52" s="30">
        <f t="shared" si="9"/>
        <v>0</v>
      </c>
      <c r="M52" s="30">
        <f t="shared" si="9"/>
        <v>0</v>
      </c>
      <c r="N52" s="30">
        <f t="shared" si="9"/>
        <v>0</v>
      </c>
      <c r="O52" s="30">
        <f t="shared" si="9"/>
        <v>0</v>
      </c>
      <c r="P52" s="311">
        <f>SUM(B52:O52)</f>
        <v>0</v>
      </c>
    </row>
    <row r="53" spans="1:16" ht="21.75">
      <c r="A53" s="20" t="s">
        <v>20</v>
      </c>
      <c r="B53" s="29">
        <v>0</v>
      </c>
      <c r="C53" s="29">
        <f>0</f>
        <v>0</v>
      </c>
      <c r="D53" s="29">
        <f>0</f>
        <v>0</v>
      </c>
      <c r="E53" s="29">
        <f>0</f>
        <v>0</v>
      </c>
      <c r="F53" s="29">
        <f>0</f>
        <v>0</v>
      </c>
      <c r="G53" s="29">
        <f>0</f>
        <v>0</v>
      </c>
      <c r="H53" s="29">
        <f>0</f>
        <v>0</v>
      </c>
      <c r="I53" s="29">
        <v>0</v>
      </c>
      <c r="J53" s="29">
        <v>0</v>
      </c>
      <c r="K53" s="29">
        <f>0</f>
        <v>0</v>
      </c>
      <c r="L53" s="29">
        <f>0</f>
        <v>0</v>
      </c>
      <c r="M53" s="29">
        <f>0</f>
        <v>0</v>
      </c>
      <c r="N53" s="29">
        <f>0</f>
        <v>0</v>
      </c>
      <c r="O53" s="29">
        <f>0</f>
        <v>0</v>
      </c>
      <c r="P53" s="311">
        <f>SUM(B53:O53)</f>
        <v>0</v>
      </c>
    </row>
    <row r="54" spans="1:16" ht="21.75">
      <c r="A54" s="21">
        <v>561000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11"/>
    </row>
    <row r="55" spans="1:16" ht="21.75">
      <c r="A55" s="312">
        <v>610100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f>SUM(B55:O55)</f>
        <v>0</v>
      </c>
    </row>
    <row r="56" spans="1:16" ht="21.75">
      <c r="A56" s="20" t="s">
        <v>19</v>
      </c>
      <c r="B56" s="29">
        <f aca="true" t="shared" si="10" ref="B56:O56">SUM(B55)</f>
        <v>0</v>
      </c>
      <c r="C56" s="29">
        <f t="shared" si="10"/>
        <v>0</v>
      </c>
      <c r="D56" s="29">
        <f t="shared" si="10"/>
        <v>0</v>
      </c>
      <c r="E56" s="29">
        <f t="shared" si="10"/>
        <v>0</v>
      </c>
      <c r="F56" s="29">
        <f t="shared" si="10"/>
        <v>0</v>
      </c>
      <c r="G56" s="29">
        <f t="shared" si="10"/>
        <v>0</v>
      </c>
      <c r="H56" s="29">
        <f t="shared" si="10"/>
        <v>0</v>
      </c>
      <c r="I56" s="29">
        <f t="shared" si="10"/>
        <v>0</v>
      </c>
      <c r="J56" s="29">
        <f t="shared" si="10"/>
        <v>0</v>
      </c>
      <c r="K56" s="29">
        <f t="shared" si="10"/>
        <v>0</v>
      </c>
      <c r="L56" s="29">
        <f t="shared" si="10"/>
        <v>0</v>
      </c>
      <c r="M56" s="29">
        <f t="shared" si="10"/>
        <v>0</v>
      </c>
      <c r="N56" s="29">
        <f t="shared" si="10"/>
        <v>0</v>
      </c>
      <c r="O56" s="29">
        <f t="shared" si="10"/>
        <v>0</v>
      </c>
      <c r="P56" s="30">
        <f>SUM(B56:O56)</f>
        <v>0</v>
      </c>
    </row>
    <row r="57" spans="1:16" ht="21.75">
      <c r="A57" s="20" t="s">
        <v>20</v>
      </c>
      <c r="B57" s="29">
        <f>0</f>
        <v>0</v>
      </c>
      <c r="C57" s="29">
        <f>0</f>
        <v>0</v>
      </c>
      <c r="D57" s="29">
        <f>0</f>
        <v>0</v>
      </c>
      <c r="E57" s="29">
        <v>0</v>
      </c>
      <c r="F57" s="29">
        <f>0</f>
        <v>0</v>
      </c>
      <c r="G57" s="29">
        <f>0</f>
        <v>0</v>
      </c>
      <c r="H57" s="29">
        <f>0</f>
        <v>0</v>
      </c>
      <c r="I57" s="29">
        <f>0</f>
        <v>0</v>
      </c>
      <c r="J57" s="29">
        <v>0</v>
      </c>
      <c r="K57" s="29">
        <f>0</f>
        <v>0</v>
      </c>
      <c r="L57" s="29">
        <f>0</f>
        <v>0</v>
      </c>
      <c r="M57" s="29">
        <v>0</v>
      </c>
      <c r="N57" s="29">
        <f>0</f>
        <v>0</v>
      </c>
      <c r="O57" s="29">
        <f>0</f>
        <v>0</v>
      </c>
      <c r="P57" s="30">
        <f>SUM(B57:O57)</f>
        <v>0</v>
      </c>
    </row>
    <row r="58" spans="1:16" ht="21.75">
      <c r="A58" s="20" t="s">
        <v>73</v>
      </c>
      <c r="B58" s="30">
        <f aca="true" t="shared" si="11" ref="B58:N58">B8+B12+B16+B20+B24+B28+B39+B43+B48+B52+B56</f>
        <v>0</v>
      </c>
      <c r="C58" s="30">
        <f t="shared" si="11"/>
        <v>0</v>
      </c>
      <c r="D58" s="30">
        <f t="shared" si="11"/>
        <v>0</v>
      </c>
      <c r="E58" s="30">
        <f t="shared" si="11"/>
        <v>0</v>
      </c>
      <c r="F58" s="30">
        <f aca="true" t="shared" si="12" ref="F58:H59">F8+F12+F16+F20+F24+F28+F39+F43+F48+F52+F56</f>
        <v>322851.5</v>
      </c>
      <c r="G58" s="30">
        <f t="shared" si="12"/>
        <v>0</v>
      </c>
      <c r="H58" s="30">
        <f t="shared" si="12"/>
        <v>0</v>
      </c>
      <c r="I58" s="30">
        <f t="shared" si="11"/>
        <v>0</v>
      </c>
      <c r="J58" s="30">
        <f t="shared" si="11"/>
        <v>0</v>
      </c>
      <c r="K58" s="30">
        <f>K8+K12+K16+K20+K24+K28+K39+K43+K48+K52+K56</f>
        <v>0</v>
      </c>
      <c r="L58" s="30">
        <f t="shared" si="11"/>
        <v>0</v>
      </c>
      <c r="M58" s="30">
        <f t="shared" si="11"/>
        <v>0</v>
      </c>
      <c r="N58" s="30">
        <f t="shared" si="11"/>
        <v>0</v>
      </c>
      <c r="O58" s="30">
        <f>O8+O12+O16+O20+O24+O28+O39+O43+O48+O52+O56</f>
        <v>0</v>
      </c>
      <c r="P58" s="30">
        <f>SUM(B58:O58)</f>
        <v>322851.5</v>
      </c>
    </row>
    <row r="59" spans="1:16" ht="21.75">
      <c r="A59" s="20" t="s">
        <v>104</v>
      </c>
      <c r="B59" s="30">
        <f>B9+B13+B17+B21+B25+B29+B40+B44+B49+B53+B57</f>
        <v>0</v>
      </c>
      <c r="C59" s="30">
        <f aca="true" t="shared" si="13" ref="C59:N59">C9+C13+C17+C21+C25+C29+C40+C44+C49+C53+C57</f>
        <v>0</v>
      </c>
      <c r="D59" s="30">
        <f t="shared" si="13"/>
        <v>0</v>
      </c>
      <c r="E59" s="30">
        <f t="shared" si="13"/>
        <v>0</v>
      </c>
      <c r="F59" s="30">
        <f t="shared" si="12"/>
        <v>333651.5</v>
      </c>
      <c r="G59" s="30">
        <f t="shared" si="12"/>
        <v>0</v>
      </c>
      <c r="H59" s="30">
        <f t="shared" si="12"/>
        <v>0</v>
      </c>
      <c r="I59" s="30">
        <f t="shared" si="13"/>
        <v>149000</v>
      </c>
      <c r="J59" s="30">
        <f t="shared" si="13"/>
        <v>273038.18</v>
      </c>
      <c r="K59" s="30">
        <f>K9+K13+K17+K21+K25+K29+K40+K44+K49+K53+K57</f>
        <v>0</v>
      </c>
      <c r="L59" s="30">
        <f t="shared" si="13"/>
        <v>0</v>
      </c>
      <c r="M59" s="30">
        <f t="shared" si="13"/>
        <v>0</v>
      </c>
      <c r="N59" s="30">
        <f t="shared" si="13"/>
        <v>0</v>
      </c>
      <c r="O59" s="30">
        <f>O9+O13+O17+O21+O25+O29+O40+O44+O49+O53+O57</f>
        <v>0</v>
      </c>
      <c r="P59" s="30">
        <f>SUM(B59:O59)</f>
        <v>755689.6799999999</v>
      </c>
    </row>
    <row r="60" spans="1:16" ht="21.75">
      <c r="A60" s="314"/>
      <c r="B60" s="320"/>
      <c r="C60" s="320"/>
      <c r="D60" s="320"/>
      <c r="E60" s="436" t="s">
        <v>7</v>
      </c>
      <c r="F60" s="436"/>
      <c r="G60" s="436"/>
      <c r="H60" s="327"/>
      <c r="I60" s="327"/>
      <c r="J60" s="436" t="s">
        <v>101</v>
      </c>
      <c r="K60" s="436"/>
      <c r="L60" s="436"/>
      <c r="M60" s="316"/>
      <c r="N60" s="321"/>
      <c r="O60" s="320"/>
      <c r="P60" s="322"/>
    </row>
    <row r="61" spans="1:16" ht="21.75">
      <c r="A61" s="314"/>
      <c r="B61" s="35"/>
      <c r="C61" s="35"/>
      <c r="D61" s="35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5"/>
      <c r="P61" s="325"/>
    </row>
    <row r="62" spans="1:16" ht="21.75">
      <c r="A62" s="314"/>
      <c r="B62" s="35"/>
      <c r="C62" s="35"/>
      <c r="D62" s="35"/>
      <c r="E62" s="437" t="s">
        <v>119</v>
      </c>
      <c r="F62" s="437"/>
      <c r="G62" s="437"/>
      <c r="H62" s="328"/>
      <c r="I62" s="328"/>
      <c r="J62" s="437" t="s">
        <v>246</v>
      </c>
      <c r="K62" s="437"/>
      <c r="L62" s="437"/>
      <c r="M62" s="316"/>
      <c r="N62" s="315"/>
      <c r="O62" s="35"/>
      <c r="P62" s="325"/>
    </row>
    <row r="63" spans="1:16" ht="21.75">
      <c r="A63" s="213"/>
      <c r="B63" s="35"/>
      <c r="C63" s="35"/>
      <c r="D63" s="35"/>
      <c r="E63" s="437" t="s">
        <v>111</v>
      </c>
      <c r="F63" s="437"/>
      <c r="G63" s="437"/>
      <c r="H63" s="328"/>
      <c r="I63" s="328"/>
      <c r="J63" s="437" t="s">
        <v>100</v>
      </c>
      <c r="K63" s="437"/>
      <c r="L63" s="437"/>
      <c r="M63" s="316"/>
      <c r="N63" s="315"/>
      <c r="O63" s="35"/>
      <c r="P63" s="325"/>
    </row>
    <row r="64" spans="1:16" ht="21.75">
      <c r="A64" s="213"/>
      <c r="B64" s="35"/>
      <c r="C64" s="35"/>
      <c r="D64" s="35"/>
      <c r="E64" s="315"/>
      <c r="F64" s="316"/>
      <c r="G64" s="316"/>
      <c r="H64" s="315"/>
      <c r="I64" s="315"/>
      <c r="J64" s="315"/>
      <c r="K64" s="315"/>
      <c r="L64" s="315"/>
      <c r="M64" s="316"/>
      <c r="N64" s="315"/>
      <c r="O64" s="35"/>
      <c r="P64" s="325"/>
    </row>
    <row r="65" spans="2:13" ht="21.75">
      <c r="B65" s="326"/>
      <c r="C65" s="326"/>
      <c r="D65" s="326"/>
      <c r="E65" s="326"/>
      <c r="F65" s="326"/>
      <c r="G65" s="326"/>
      <c r="H65" s="326"/>
      <c r="I65" s="326"/>
      <c r="J65" s="326"/>
      <c r="L65" s="326"/>
      <c r="M65" s="326"/>
    </row>
  </sheetData>
  <mergeCells count="24">
    <mergeCell ref="A34:P34"/>
    <mergeCell ref="D35:E35"/>
    <mergeCell ref="B35:C35"/>
    <mergeCell ref="L35:M35"/>
    <mergeCell ref="I35:J35"/>
    <mergeCell ref="E30:G30"/>
    <mergeCell ref="E32:G32"/>
    <mergeCell ref="E33:G33"/>
    <mergeCell ref="J30:L30"/>
    <mergeCell ref="J32:L32"/>
    <mergeCell ref="J33:L33"/>
    <mergeCell ref="A1:P1"/>
    <mergeCell ref="A2:P2"/>
    <mergeCell ref="A3:P3"/>
    <mergeCell ref="I4:J4"/>
    <mergeCell ref="L4:M4"/>
    <mergeCell ref="B4:C4"/>
    <mergeCell ref="D4:E4"/>
    <mergeCell ref="E60:G60"/>
    <mergeCell ref="E62:G62"/>
    <mergeCell ref="E63:G63"/>
    <mergeCell ref="J60:L60"/>
    <mergeCell ref="J62:L62"/>
    <mergeCell ref="J63:L63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F28" sqref="F28"/>
    </sheetView>
  </sheetViews>
  <sheetFormatPr defaultColWidth="9.140625" defaultRowHeight="21.75"/>
  <cols>
    <col min="1" max="1" width="4.28125" style="79" customWidth="1"/>
    <col min="2" max="4" width="9.140625" style="79" customWidth="1"/>
    <col min="5" max="5" width="19.28125" style="79" customWidth="1"/>
    <col min="6" max="6" width="15.421875" style="79" customWidth="1"/>
    <col min="7" max="7" width="4.00390625" style="79" customWidth="1"/>
    <col min="8" max="8" width="15.421875" style="157" customWidth="1"/>
    <col min="9" max="9" width="9.140625" style="79" customWidth="1"/>
    <col min="10" max="10" width="4.28125" style="79" customWidth="1"/>
    <col min="11" max="16384" width="9.140625" style="79" customWidth="1"/>
  </cols>
  <sheetData>
    <row r="1" spans="1:9" ht="23.25">
      <c r="A1" s="383" t="s">
        <v>215</v>
      </c>
      <c r="B1" s="383"/>
      <c r="C1" s="383"/>
      <c r="D1" s="383"/>
      <c r="E1" s="383"/>
      <c r="F1" s="383"/>
      <c r="G1" s="383"/>
      <c r="H1" s="383"/>
      <c r="I1" s="383"/>
    </row>
    <row r="2" spans="1:9" ht="23.25">
      <c r="A2" s="383" t="s">
        <v>216</v>
      </c>
      <c r="B2" s="383"/>
      <c r="C2" s="383"/>
      <c r="D2" s="383"/>
      <c r="E2" s="383"/>
      <c r="F2" s="383"/>
      <c r="G2" s="383"/>
      <c r="H2" s="383"/>
      <c r="I2" s="383"/>
    </row>
    <row r="3" spans="1:9" ht="23.25">
      <c r="A3" s="383" t="s">
        <v>291</v>
      </c>
      <c r="B3" s="383"/>
      <c r="C3" s="383"/>
      <c r="D3" s="383"/>
      <c r="E3" s="383"/>
      <c r="F3" s="383"/>
      <c r="G3" s="383"/>
      <c r="H3" s="383"/>
      <c r="I3" s="383"/>
    </row>
    <row r="4" spans="1:9" ht="23.25">
      <c r="A4" s="99"/>
      <c r="B4" s="99"/>
      <c r="C4" s="99"/>
      <c r="D4" s="99"/>
      <c r="E4" s="99"/>
      <c r="F4" s="99" t="s">
        <v>25</v>
      </c>
      <c r="G4" s="99"/>
      <c r="H4" s="99" t="s">
        <v>170</v>
      </c>
      <c r="I4" s="99"/>
    </row>
    <row r="5" ht="23.25">
      <c r="A5" s="102" t="s">
        <v>217</v>
      </c>
    </row>
    <row r="6" spans="2:9" ht="23.25">
      <c r="B6" s="79" t="s">
        <v>218</v>
      </c>
      <c r="F6" s="157">
        <v>4406752.15</v>
      </c>
      <c r="G6" s="157"/>
      <c r="H6" s="157">
        <f>1041719.61+392900.66+3204288.9+461926.29+4406752.15</f>
        <v>9507587.61</v>
      </c>
      <c r="I6" s="268" t="s">
        <v>30</v>
      </c>
    </row>
    <row r="7" spans="2:9" ht="23.25">
      <c r="B7" s="79" t="s">
        <v>232</v>
      </c>
      <c r="F7" s="157">
        <v>123144</v>
      </c>
      <c r="G7" s="157"/>
      <c r="H7" s="157">
        <f>1795000+2100000+181197+123144</f>
        <v>4199341</v>
      </c>
      <c r="I7" s="268" t="s">
        <v>30</v>
      </c>
    </row>
    <row r="8" spans="2:9" ht="23.25">
      <c r="B8" s="79" t="s">
        <v>219</v>
      </c>
      <c r="F8" s="157">
        <v>2149.11</v>
      </c>
      <c r="G8" s="157"/>
      <c r="H8" s="157">
        <f>3313.46+1896.55+4585.3+4471.52+2149.11</f>
        <v>16415.940000000002</v>
      </c>
      <c r="I8" s="268" t="s">
        <v>30</v>
      </c>
    </row>
    <row r="9" spans="2:9" ht="23.25">
      <c r="B9" s="79" t="s">
        <v>251</v>
      </c>
      <c r="F9" s="157">
        <v>169256</v>
      </c>
      <c r="G9" s="157"/>
      <c r="H9" s="157">
        <f>11300+11320+565476+169256</f>
        <v>757352</v>
      </c>
      <c r="I9" s="268" t="s">
        <v>30</v>
      </c>
    </row>
    <row r="10" spans="2:9" ht="23.25">
      <c r="B10" s="79" t="s">
        <v>252</v>
      </c>
      <c r="F10" s="157">
        <v>351607.27</v>
      </c>
      <c r="G10" s="157"/>
      <c r="H10" s="157">
        <f>696000+348000+349500+351607.27</f>
        <v>1745107.27</v>
      </c>
      <c r="I10" s="268" t="s">
        <v>30</v>
      </c>
    </row>
    <row r="11" spans="2:9" ht="23.25">
      <c r="B11" s="79" t="s">
        <v>292</v>
      </c>
      <c r="F11" s="157">
        <v>367.74</v>
      </c>
      <c r="G11" s="157"/>
      <c r="H11" s="157">
        <v>367.74</v>
      </c>
      <c r="I11" s="268" t="s">
        <v>30</v>
      </c>
    </row>
    <row r="12" spans="2:9" ht="23.25">
      <c r="B12" s="79" t="s">
        <v>220</v>
      </c>
      <c r="F12" s="157"/>
      <c r="G12" s="157"/>
      <c r="H12" s="157">
        <v>99990.93</v>
      </c>
      <c r="I12" s="268" t="s">
        <v>30</v>
      </c>
    </row>
    <row r="13" spans="2:9" ht="23.25">
      <c r="B13" s="79" t="s">
        <v>221</v>
      </c>
      <c r="F13" s="157">
        <v>0</v>
      </c>
      <c r="G13" s="157"/>
      <c r="H13" s="157">
        <v>16775.7</v>
      </c>
      <c r="I13" s="268" t="s">
        <v>30</v>
      </c>
    </row>
    <row r="14" spans="5:9" ht="23.25">
      <c r="E14" s="79" t="s">
        <v>222</v>
      </c>
      <c r="F14" s="269">
        <f>SUM(F6:F13)</f>
        <v>5053276.270000001</v>
      </c>
      <c r="G14" s="169"/>
      <c r="H14" s="269">
        <f>SUM(H6:H13)</f>
        <v>16342938.189999998</v>
      </c>
      <c r="I14" s="268" t="s">
        <v>30</v>
      </c>
    </row>
    <row r="15" spans="1:7" ht="23.25">
      <c r="A15" s="102" t="s">
        <v>45</v>
      </c>
      <c r="F15" s="157"/>
      <c r="G15" s="157"/>
    </row>
    <row r="16" spans="2:9" ht="23.25">
      <c r="B16" s="79" t="s">
        <v>223</v>
      </c>
      <c r="F16" s="157">
        <v>896894.42</v>
      </c>
      <c r="G16" s="157"/>
      <c r="H16" s="157">
        <f>429893.02+587611.95+1408067.33+1063307.29+896894.42</f>
        <v>4385774.01</v>
      </c>
      <c r="I16" s="268" t="s">
        <v>30</v>
      </c>
    </row>
    <row r="17" spans="2:9" ht="23.25">
      <c r="B17" s="79" t="s">
        <v>233</v>
      </c>
      <c r="F17" s="157">
        <v>403640</v>
      </c>
      <c r="G17" s="157"/>
      <c r="H17" s="157">
        <f>1795000+696000+520920+354277+403640</f>
        <v>3769837</v>
      </c>
      <c r="I17" s="268" t="s">
        <v>30</v>
      </c>
    </row>
    <row r="18" spans="2:9" ht="23.25">
      <c r="B18" s="79" t="s">
        <v>224</v>
      </c>
      <c r="F18" s="157"/>
      <c r="G18" s="157"/>
      <c r="H18" s="157">
        <v>603540</v>
      </c>
      <c r="I18" s="268" t="s">
        <v>30</v>
      </c>
    </row>
    <row r="19" spans="2:9" ht="23.25">
      <c r="B19" s="79" t="s">
        <v>293</v>
      </c>
      <c r="F19" s="157">
        <v>10000</v>
      </c>
      <c r="G19" s="157"/>
      <c r="H19" s="157">
        <v>10000</v>
      </c>
      <c r="I19" s="268"/>
    </row>
    <row r="20" spans="2:9" ht="23.25">
      <c r="B20" s="79" t="s">
        <v>225</v>
      </c>
      <c r="F20" s="157">
        <v>11275.16</v>
      </c>
      <c r="G20" s="157"/>
      <c r="H20" s="157">
        <f>4338.43+10977.36+231.31+2057.1+11275.16</f>
        <v>28879.36</v>
      </c>
      <c r="I20" s="268" t="s">
        <v>30</v>
      </c>
    </row>
    <row r="21" spans="2:9" ht="23.25">
      <c r="B21" s="79" t="s">
        <v>253</v>
      </c>
      <c r="F21" s="157">
        <v>236794</v>
      </c>
      <c r="G21" s="157"/>
      <c r="H21" s="157">
        <f>87252+14844+565556+236794</f>
        <v>904446</v>
      </c>
      <c r="I21" s="268" t="s">
        <v>30</v>
      </c>
    </row>
    <row r="22" spans="2:9" ht="23.25">
      <c r="B22" s="79" t="s">
        <v>254</v>
      </c>
      <c r="F22" s="157">
        <v>351607.27</v>
      </c>
      <c r="G22" s="157"/>
      <c r="H22" s="157">
        <f>696000+348000+349500+351607.27</f>
        <v>1745107.27</v>
      </c>
      <c r="I22" s="268" t="s">
        <v>30</v>
      </c>
    </row>
    <row r="23" spans="2:9" ht="23.25">
      <c r="B23" s="79" t="s">
        <v>271</v>
      </c>
      <c r="F23" s="157">
        <v>0</v>
      </c>
      <c r="G23" s="157"/>
      <c r="H23" s="157">
        <v>48244.5</v>
      </c>
      <c r="I23" s="268" t="s">
        <v>30</v>
      </c>
    </row>
    <row r="24" spans="2:9" ht="23.25">
      <c r="B24" s="79" t="s">
        <v>226</v>
      </c>
      <c r="F24" s="157">
        <v>0</v>
      </c>
      <c r="G24" s="157"/>
      <c r="H24" s="157">
        <f>283838.18+149000+322851.5</f>
        <v>755689.6799999999</v>
      </c>
      <c r="I24" s="268" t="s">
        <v>30</v>
      </c>
    </row>
    <row r="25" spans="2:9" ht="23.25">
      <c r="B25" s="79" t="s">
        <v>227</v>
      </c>
      <c r="F25" s="157">
        <v>0</v>
      </c>
      <c r="G25" s="157"/>
      <c r="H25" s="157">
        <v>16775.7</v>
      </c>
      <c r="I25" s="268" t="s">
        <v>30</v>
      </c>
    </row>
    <row r="26" spans="5:9" ht="23.25">
      <c r="E26" s="79" t="s">
        <v>222</v>
      </c>
      <c r="F26" s="269">
        <f>SUM(F16:F25)</f>
        <v>1910210.8499999999</v>
      </c>
      <c r="G26" s="157"/>
      <c r="H26" s="269">
        <f>SUM(H16:H25)</f>
        <v>12268293.519999998</v>
      </c>
      <c r="I26" s="268" t="s">
        <v>30</v>
      </c>
    </row>
    <row r="27" spans="2:9" ht="24" thickBot="1">
      <c r="B27" s="79" t="s">
        <v>228</v>
      </c>
      <c r="F27" s="307">
        <f>F14-F26</f>
        <v>3143065.420000002</v>
      </c>
      <c r="G27" s="157"/>
      <c r="H27" s="270">
        <f>H14-H26</f>
        <v>4074644.67</v>
      </c>
      <c r="I27" s="268" t="s">
        <v>30</v>
      </c>
    </row>
    <row r="28" spans="6:9" ht="24" thickTop="1">
      <c r="F28" s="157"/>
      <c r="G28" s="157"/>
      <c r="H28" s="169"/>
      <c r="I28" s="268"/>
    </row>
    <row r="30" spans="1:10" s="271" customFormat="1" ht="21.75">
      <c r="A30" s="382" t="s">
        <v>229</v>
      </c>
      <c r="B30" s="382"/>
      <c r="C30" s="382"/>
      <c r="D30" s="382"/>
      <c r="E30" s="382"/>
      <c r="F30" s="382"/>
      <c r="G30" s="382"/>
      <c r="H30" s="382"/>
      <c r="I30" s="382"/>
      <c r="J30" s="382"/>
    </row>
    <row r="31" spans="1:10" s="271" customFormat="1" ht="21.75">
      <c r="A31" s="382" t="s">
        <v>230</v>
      </c>
      <c r="B31" s="382"/>
      <c r="C31" s="382"/>
      <c r="D31" s="382"/>
      <c r="E31" s="382"/>
      <c r="F31" s="382"/>
      <c r="G31" s="382"/>
      <c r="H31" s="382"/>
      <c r="I31" s="382"/>
      <c r="J31" s="382"/>
    </row>
    <row r="32" spans="1:10" s="271" customFormat="1" ht="21.75">
      <c r="A32" s="382" t="s">
        <v>231</v>
      </c>
      <c r="B32" s="382"/>
      <c r="C32" s="382"/>
      <c r="D32" s="382"/>
      <c r="E32" s="382"/>
      <c r="F32" s="382"/>
      <c r="G32" s="382"/>
      <c r="H32" s="382"/>
      <c r="I32" s="382"/>
      <c r="J32" s="382"/>
    </row>
  </sheetData>
  <mergeCells count="6">
    <mergeCell ref="A31:J31"/>
    <mergeCell ref="A32:J32"/>
    <mergeCell ref="A1:I1"/>
    <mergeCell ref="A2:I2"/>
    <mergeCell ref="A3:I3"/>
    <mergeCell ref="A30:J30"/>
  </mergeCells>
  <printOptions/>
  <pageMargins left="0.75" right="0.75" top="0.25" bottom="0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7" sqref="C7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10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386" t="s">
        <v>3</v>
      </c>
      <c r="M5" s="386"/>
    </row>
    <row r="6" spans="1:13" ht="24">
      <c r="A6" s="1" t="s">
        <v>294</v>
      </c>
      <c r="B6" s="1"/>
      <c r="C6" s="1"/>
      <c r="D6" s="1"/>
      <c r="E6" s="1"/>
      <c r="F6" s="1"/>
      <c r="G6" s="2"/>
      <c r="H6" s="2"/>
      <c r="I6" s="384" t="s">
        <v>2</v>
      </c>
      <c r="J6" s="385"/>
      <c r="L6" s="391">
        <v>4447896</v>
      </c>
      <c r="M6" s="392"/>
    </row>
    <row r="7" spans="1:13" ht="24">
      <c r="A7" s="1"/>
      <c r="B7" s="1"/>
      <c r="C7" s="1"/>
      <c r="D7" s="1"/>
      <c r="E7" s="1"/>
      <c r="F7" s="1"/>
      <c r="G7" s="2"/>
      <c r="H7" s="2"/>
      <c r="I7" s="162"/>
      <c r="J7" s="163"/>
      <c r="L7" s="164"/>
      <c r="M7" s="165"/>
    </row>
    <row r="8" spans="1:13" ht="24">
      <c r="A8" s="1"/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 t="s">
        <v>11</v>
      </c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2"/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1" t="s">
        <v>5</v>
      </c>
      <c r="B11" s="2"/>
      <c r="C11" s="2"/>
      <c r="D11" s="2"/>
      <c r="E11" s="2"/>
      <c r="F11" s="2"/>
      <c r="G11" s="2"/>
      <c r="H11" s="2"/>
      <c r="I11" s="8"/>
      <c r="J11" s="9"/>
      <c r="L11" s="10"/>
      <c r="M11" s="11"/>
    </row>
    <row r="12" spans="1:13" ht="24">
      <c r="A12" s="2" t="s">
        <v>12</v>
      </c>
      <c r="B12" s="2"/>
      <c r="C12" s="2"/>
      <c r="D12" s="2"/>
      <c r="E12" s="2"/>
      <c r="F12" s="2"/>
      <c r="G12" s="2"/>
      <c r="H12" s="2"/>
      <c r="I12" s="13">
        <v>7257493.21</v>
      </c>
      <c r="J12" s="9"/>
      <c r="L12" s="389"/>
      <c r="M12" s="390"/>
    </row>
    <row r="13" spans="1:13" ht="24">
      <c r="A13" s="23" t="s">
        <v>255</v>
      </c>
      <c r="B13" s="2"/>
      <c r="C13" s="2"/>
      <c r="D13" s="168" t="s">
        <v>256</v>
      </c>
      <c r="E13" s="2"/>
      <c r="F13" s="2"/>
      <c r="G13" s="14">
        <v>88081</v>
      </c>
      <c r="H13" s="2"/>
      <c r="I13" s="13"/>
      <c r="J13" s="9"/>
      <c r="L13" s="229"/>
      <c r="M13" s="230"/>
    </row>
    <row r="14" spans="1:13" ht="24">
      <c r="A14" s="23" t="s">
        <v>297</v>
      </c>
      <c r="B14" s="2"/>
      <c r="C14" s="2"/>
      <c r="D14" s="168" t="s">
        <v>298</v>
      </c>
      <c r="E14" s="2"/>
      <c r="F14" s="2"/>
      <c r="G14" s="14">
        <v>1540</v>
      </c>
      <c r="H14" s="2"/>
      <c r="I14" s="13"/>
      <c r="J14" s="9"/>
      <c r="L14" s="229"/>
      <c r="M14" s="230"/>
    </row>
    <row r="15" spans="1:13" ht="24">
      <c r="A15" s="23" t="s">
        <v>297</v>
      </c>
      <c r="B15" s="2"/>
      <c r="C15" s="2"/>
      <c r="D15" s="168" t="s">
        <v>299</v>
      </c>
      <c r="E15" s="2"/>
      <c r="F15" s="2"/>
      <c r="G15" s="14">
        <v>3750</v>
      </c>
      <c r="H15" s="2"/>
      <c r="I15" s="13"/>
      <c r="J15" s="9"/>
      <c r="L15" s="229"/>
      <c r="M15" s="230"/>
    </row>
    <row r="16" spans="1:13" ht="24">
      <c r="A16" s="23" t="s">
        <v>297</v>
      </c>
      <c r="B16" s="2"/>
      <c r="C16" s="2"/>
      <c r="D16" s="168" t="s">
        <v>300</v>
      </c>
      <c r="E16" s="2"/>
      <c r="F16" s="2"/>
      <c r="G16" s="14">
        <v>34650</v>
      </c>
      <c r="H16" s="2"/>
      <c r="I16" s="13"/>
      <c r="J16" s="9"/>
      <c r="L16" s="229"/>
      <c r="M16" s="230"/>
    </row>
    <row r="17" spans="1:13" ht="24">
      <c r="A17" s="23"/>
      <c r="B17" s="2"/>
      <c r="C17" s="2"/>
      <c r="D17" s="168"/>
      <c r="E17" s="2"/>
      <c r="F17" s="2"/>
      <c r="G17" s="14"/>
      <c r="H17" s="2"/>
      <c r="I17" s="8"/>
      <c r="J17" s="9"/>
      <c r="L17" s="393">
        <f>SUM(G13:G17)</f>
        <v>128021</v>
      </c>
      <c r="M17" s="394"/>
    </row>
    <row r="18" spans="1:13" ht="24">
      <c r="A18" s="23"/>
      <c r="B18" s="2"/>
      <c r="C18" s="2"/>
      <c r="D18" s="168"/>
      <c r="E18" s="2"/>
      <c r="F18" s="2"/>
      <c r="G18" s="14"/>
      <c r="H18" s="2"/>
      <c r="I18" s="8"/>
      <c r="J18" s="9"/>
      <c r="L18" s="92"/>
      <c r="M18" s="98"/>
    </row>
    <row r="19" spans="1:13" ht="24">
      <c r="A19" s="23"/>
      <c r="B19" s="2"/>
      <c r="C19" s="2"/>
      <c r="D19" s="168"/>
      <c r="E19" s="2"/>
      <c r="F19" s="2"/>
      <c r="G19" s="14"/>
      <c r="H19" s="2"/>
      <c r="I19" s="8"/>
      <c r="J19" s="9"/>
      <c r="L19" s="92"/>
      <c r="M19" s="98"/>
    </row>
    <row r="20" spans="1:13" ht="24">
      <c r="A20" s="23"/>
      <c r="B20" s="2"/>
      <c r="C20" s="2"/>
      <c r="D20" s="168"/>
      <c r="E20" s="2"/>
      <c r="F20" s="2"/>
      <c r="G20" s="14"/>
      <c r="H20" s="2"/>
      <c r="I20" s="8"/>
      <c r="J20" s="9"/>
      <c r="L20" s="92"/>
      <c r="M20" s="98"/>
    </row>
    <row r="21" spans="1:13" ht="24">
      <c r="A21" s="1" t="s">
        <v>105</v>
      </c>
      <c r="B21" s="1"/>
      <c r="C21" s="1"/>
      <c r="D21" s="1"/>
      <c r="E21" s="2"/>
      <c r="F21" s="2"/>
      <c r="G21" s="2"/>
      <c r="H21" s="2"/>
      <c r="I21" s="8"/>
      <c r="J21" s="9"/>
      <c r="L21" s="15"/>
      <c r="M21" s="11"/>
    </row>
    <row r="22" spans="1:13" ht="24">
      <c r="A22" s="16" t="s">
        <v>6</v>
      </c>
      <c r="B22" s="2"/>
      <c r="C22" s="2"/>
      <c r="D22" s="2"/>
      <c r="E22" s="2"/>
      <c r="F22" s="2"/>
      <c r="G22" s="2"/>
      <c r="H22" s="2"/>
      <c r="I22" s="8"/>
      <c r="J22" s="9"/>
      <c r="L22" s="10"/>
      <c r="M22" s="11"/>
    </row>
    <row r="23" spans="1:13" ht="24">
      <c r="A23" s="16"/>
      <c r="B23" s="2"/>
      <c r="C23" s="2"/>
      <c r="D23" s="2"/>
      <c r="E23" s="2"/>
      <c r="F23" s="2"/>
      <c r="G23" s="2"/>
      <c r="H23" s="2"/>
      <c r="I23" s="8"/>
      <c r="J23" s="9"/>
      <c r="L23" s="10"/>
      <c r="M23" s="11"/>
    </row>
    <row r="24" spans="1:13" ht="24">
      <c r="A24" s="12"/>
      <c r="B24" s="2"/>
      <c r="C24" s="2"/>
      <c r="D24" s="2"/>
      <c r="E24" s="2"/>
      <c r="F24" s="2"/>
      <c r="G24" s="14"/>
      <c r="H24" s="2"/>
      <c r="I24" s="8"/>
      <c r="J24" s="9"/>
      <c r="L24" s="10"/>
      <c r="M24" s="11"/>
    </row>
    <row r="25" spans="1:13" ht="24">
      <c r="A25" s="23"/>
      <c r="B25" s="2"/>
      <c r="C25" s="2"/>
      <c r="D25" s="2"/>
      <c r="E25" s="2"/>
      <c r="F25" s="2"/>
      <c r="G25" s="14"/>
      <c r="H25" s="2"/>
      <c r="I25" s="8"/>
      <c r="J25" s="9"/>
      <c r="L25" s="395"/>
      <c r="M25" s="396"/>
    </row>
    <row r="26" spans="1:13" ht="24">
      <c r="A26" s="2"/>
      <c r="B26" s="2"/>
      <c r="C26" s="2"/>
      <c r="D26" s="2"/>
      <c r="E26" s="2"/>
      <c r="F26" s="2"/>
      <c r="G26" s="2"/>
      <c r="H26" s="2"/>
      <c r="I26" s="8"/>
      <c r="J26" s="9"/>
      <c r="L26" s="10"/>
      <c r="M26" s="11"/>
    </row>
    <row r="27" spans="1:17" ht="24">
      <c r="A27" s="167" t="s">
        <v>295</v>
      </c>
      <c r="B27" s="5"/>
      <c r="C27" s="5"/>
      <c r="D27" s="5"/>
      <c r="E27" s="5"/>
      <c r="F27" s="5"/>
      <c r="G27" s="5"/>
      <c r="H27" s="6"/>
      <c r="I27" s="18">
        <v>7256974.21</v>
      </c>
      <c r="J27" s="9"/>
      <c r="L27" s="387">
        <f>L6-L17+L25</f>
        <v>4319875</v>
      </c>
      <c r="M27" s="388"/>
      <c r="Q27" s="161"/>
    </row>
    <row r="28" spans="1:10" ht="24">
      <c r="A28" s="1" t="s">
        <v>7</v>
      </c>
      <c r="B28" s="2"/>
      <c r="C28" s="2"/>
      <c r="D28" s="2"/>
      <c r="E28" s="2"/>
      <c r="F28" s="8" t="s">
        <v>8</v>
      </c>
      <c r="G28" s="2"/>
      <c r="H28" s="2"/>
      <c r="I28" s="9"/>
      <c r="J28" s="5"/>
    </row>
    <row r="29" spans="1:10" ht="24">
      <c r="A29" s="2"/>
      <c r="B29" s="2"/>
      <c r="C29" s="2"/>
      <c r="D29" s="2"/>
      <c r="E29" s="2"/>
      <c r="F29" s="8"/>
      <c r="G29" s="2"/>
      <c r="H29" s="2"/>
      <c r="I29" s="2"/>
      <c r="J29" s="9"/>
    </row>
    <row r="30" spans="1:12" ht="24">
      <c r="A30" s="1" t="s">
        <v>117</v>
      </c>
      <c r="B30" s="2"/>
      <c r="C30" s="2"/>
      <c r="D30" s="24" t="s">
        <v>296</v>
      </c>
      <c r="E30" s="2"/>
      <c r="F30" s="25" t="s">
        <v>147</v>
      </c>
      <c r="G30" s="2"/>
      <c r="H30" s="2"/>
      <c r="I30" s="2"/>
      <c r="J30" s="2"/>
      <c r="L30" s="24" t="str">
        <f>D30</f>
        <v>วันที่ 28 ก.พ. 53</v>
      </c>
    </row>
    <row r="31" spans="1:13" ht="24">
      <c r="A31" s="17" t="s">
        <v>118</v>
      </c>
      <c r="B31" s="5"/>
      <c r="C31" s="5"/>
      <c r="D31" s="5"/>
      <c r="E31" s="5"/>
      <c r="F31" s="19" t="s">
        <v>13</v>
      </c>
      <c r="G31" s="5"/>
      <c r="H31" s="5"/>
      <c r="I31" s="5"/>
      <c r="J31" s="5"/>
      <c r="K31" s="7"/>
      <c r="L31" s="7"/>
      <c r="M31" s="7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5"/>
    </row>
    <row r="33" spans="1:9" ht="21.75">
      <c r="A33" s="11"/>
      <c r="B33" s="11"/>
      <c r="C33" s="11"/>
      <c r="D33" s="11"/>
      <c r="E33" s="11"/>
      <c r="F33" s="11"/>
      <c r="G33" s="11"/>
      <c r="H33" s="11"/>
      <c r="I33" s="11"/>
    </row>
  </sheetData>
  <mergeCells count="7">
    <mergeCell ref="I6:J6"/>
    <mergeCell ref="L5:M5"/>
    <mergeCell ref="L27:M27"/>
    <mergeCell ref="L12:M12"/>
    <mergeCell ref="L6:M6"/>
    <mergeCell ref="L17:M17"/>
    <mergeCell ref="L25:M25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13" sqref="F13"/>
    </sheetView>
  </sheetViews>
  <sheetFormatPr defaultColWidth="9.140625" defaultRowHeight="21.75"/>
  <cols>
    <col min="1" max="1" width="16.140625" style="0" bestFit="1" customWidth="1"/>
    <col min="4" max="4" width="11.140625" style="0" customWidth="1"/>
    <col min="5" max="5" width="6.7109375" style="0" customWidth="1"/>
    <col min="6" max="6" width="13.140625" style="0" bestFit="1" customWidth="1"/>
    <col min="7" max="7" width="7.00390625" style="0" customWidth="1"/>
    <col min="8" max="8" width="17.28125" style="0" hidden="1" customWidth="1"/>
    <col min="9" max="9" width="14.28125" style="0" hidden="1" customWidth="1"/>
    <col min="10" max="10" width="10.7109375" style="0" hidden="1" customWidth="1"/>
    <col min="11" max="11" width="12.57421875" style="0" customWidth="1"/>
    <col min="12" max="12" width="5.7109375" style="0" customWidth="1"/>
    <col min="13" max="13" width="7.28125" style="0" customWidth="1"/>
    <col min="14" max="14" width="9.140625" style="0" hidden="1" customWidth="1"/>
    <col min="15" max="15" width="4.8515625" style="0" customWidth="1"/>
    <col min="16" max="16" width="8.7109375" style="0" customWidth="1"/>
  </cols>
  <sheetData>
    <row r="1" spans="1:9" ht="24">
      <c r="A1" s="1" t="s">
        <v>0</v>
      </c>
      <c r="B1" s="1"/>
      <c r="C1" s="1"/>
      <c r="D1" s="2"/>
      <c r="E1" s="8"/>
      <c r="F1" s="2"/>
      <c r="G1" s="2"/>
      <c r="H1" s="2"/>
      <c r="I1" s="2"/>
    </row>
    <row r="2" spans="1:9" ht="24">
      <c r="A2" s="2"/>
      <c r="B2" s="2"/>
      <c r="C2" s="2"/>
      <c r="D2" s="2"/>
      <c r="E2" s="8" t="s">
        <v>113</v>
      </c>
      <c r="F2" s="2"/>
      <c r="G2" s="2"/>
      <c r="H2" s="2"/>
      <c r="I2" s="2"/>
    </row>
    <row r="3" spans="1:9" ht="26.25">
      <c r="A3" s="1" t="s">
        <v>1</v>
      </c>
      <c r="B3" s="2"/>
      <c r="C3" s="2"/>
      <c r="D3" s="2"/>
      <c r="E3" s="8"/>
      <c r="F3" s="2"/>
      <c r="G3" s="2"/>
      <c r="H3" s="2"/>
      <c r="I3" s="2"/>
    </row>
    <row r="4" spans="1:9" ht="24">
      <c r="A4" s="2"/>
      <c r="B4" s="2"/>
      <c r="C4" s="2"/>
      <c r="D4" s="2"/>
      <c r="E4" s="8" t="s">
        <v>114</v>
      </c>
      <c r="F4" s="2"/>
      <c r="G4" s="2"/>
      <c r="H4" s="4"/>
      <c r="I4" s="2"/>
    </row>
    <row r="5" spans="1:12" ht="24">
      <c r="A5" s="5"/>
      <c r="B5" s="5"/>
      <c r="C5" s="5"/>
      <c r="D5" s="5"/>
      <c r="E5" s="19"/>
      <c r="F5" s="5"/>
      <c r="G5" s="5"/>
      <c r="H5" s="5"/>
      <c r="I5" s="5"/>
      <c r="K5" s="386" t="s">
        <v>3</v>
      </c>
      <c r="L5" s="386"/>
    </row>
    <row r="6" spans="1:12" ht="24">
      <c r="A6" s="1" t="s">
        <v>266</v>
      </c>
      <c r="B6" s="1"/>
      <c r="C6" s="1"/>
      <c r="D6" s="1"/>
      <c r="E6" s="1"/>
      <c r="F6" s="2"/>
      <c r="G6" s="2"/>
      <c r="H6" s="384" t="s">
        <v>2</v>
      </c>
      <c r="I6" s="385"/>
      <c r="K6" s="391">
        <v>2213176.51</v>
      </c>
      <c r="L6" s="392"/>
    </row>
    <row r="7" spans="1:12" ht="24">
      <c r="A7" s="1" t="s">
        <v>4</v>
      </c>
      <c r="B7" s="2"/>
      <c r="C7" s="2"/>
      <c r="D7" s="2"/>
      <c r="E7" s="2"/>
      <c r="F7" s="2"/>
      <c r="G7" s="2"/>
      <c r="H7" s="8"/>
      <c r="I7" s="9"/>
      <c r="K7" s="10"/>
      <c r="L7" s="11"/>
    </row>
    <row r="8" spans="1:12" ht="24">
      <c r="A8" s="2" t="s">
        <v>11</v>
      </c>
      <c r="B8" s="2"/>
      <c r="C8" s="2"/>
      <c r="D8" s="2"/>
      <c r="E8" s="2"/>
      <c r="F8" s="2"/>
      <c r="G8" s="2"/>
      <c r="H8" s="8"/>
      <c r="I8" s="9"/>
      <c r="K8" s="10"/>
      <c r="L8" s="11"/>
    </row>
    <row r="9" spans="1:12" ht="24">
      <c r="A9" s="23"/>
      <c r="B9" s="2"/>
      <c r="C9" s="2"/>
      <c r="D9" s="2"/>
      <c r="E9" s="2"/>
      <c r="F9" s="14"/>
      <c r="G9" s="2"/>
      <c r="H9" s="8"/>
      <c r="I9" s="9"/>
      <c r="K9" s="399"/>
      <c r="L9" s="400"/>
    </row>
    <row r="10" spans="1:12" ht="24">
      <c r="A10" s="1" t="s">
        <v>5</v>
      </c>
      <c r="B10" s="2"/>
      <c r="C10" s="2"/>
      <c r="D10" s="2"/>
      <c r="E10" s="2"/>
      <c r="F10" s="2"/>
      <c r="G10" s="2"/>
      <c r="H10" s="8"/>
      <c r="I10" s="9"/>
      <c r="K10" s="10"/>
      <c r="L10" s="11"/>
    </row>
    <row r="11" spans="1:12" ht="24">
      <c r="A11" s="2" t="s">
        <v>12</v>
      </c>
      <c r="B11" s="2"/>
      <c r="C11" s="2"/>
      <c r="D11" s="2"/>
      <c r="E11" s="2"/>
      <c r="F11" s="2"/>
      <c r="G11" s="2"/>
      <c r="H11" s="13">
        <v>7257493.21</v>
      </c>
      <c r="I11" s="9"/>
      <c r="K11" s="389"/>
      <c r="L11" s="390"/>
    </row>
    <row r="12" spans="1:12" ht="24">
      <c r="A12" s="334">
        <v>238856</v>
      </c>
      <c r="B12" s="2"/>
      <c r="C12" s="2"/>
      <c r="D12" s="23" t="s">
        <v>268</v>
      </c>
      <c r="E12" s="2"/>
      <c r="F12" s="14">
        <v>64000</v>
      </c>
      <c r="G12" s="2"/>
      <c r="H12" s="8"/>
      <c r="I12" s="9"/>
      <c r="K12" s="397"/>
      <c r="L12" s="398"/>
    </row>
    <row r="13" spans="1:12" ht="24">
      <c r="A13" s="23"/>
      <c r="D13" s="2"/>
      <c r="F13" s="14"/>
      <c r="G13" s="2"/>
      <c r="H13" s="8"/>
      <c r="I13" s="9"/>
      <c r="K13" s="393">
        <f>SUM(F12:F13)</f>
        <v>64000</v>
      </c>
      <c r="L13" s="394"/>
    </row>
    <row r="14" spans="1:12" ht="24">
      <c r="A14" s="23"/>
      <c r="B14" s="2"/>
      <c r="C14" s="2"/>
      <c r="D14" s="2"/>
      <c r="E14" s="2"/>
      <c r="F14" s="14"/>
      <c r="G14" s="2"/>
      <c r="H14" s="8"/>
      <c r="I14" s="9"/>
      <c r="K14" s="393"/>
      <c r="L14" s="394"/>
    </row>
    <row r="15" spans="1:12" ht="24">
      <c r="A15" s="23"/>
      <c r="B15" s="2"/>
      <c r="C15" s="2"/>
      <c r="D15" s="2"/>
      <c r="E15" s="2"/>
      <c r="F15" s="14"/>
      <c r="G15" s="2"/>
      <c r="H15" s="8"/>
      <c r="I15" s="9"/>
      <c r="K15" s="92"/>
      <c r="L15" s="98"/>
    </row>
    <row r="16" spans="1:12" ht="24">
      <c r="A16" s="1" t="s">
        <v>105</v>
      </c>
      <c r="B16" s="1"/>
      <c r="C16" s="1"/>
      <c r="D16" s="1"/>
      <c r="E16" s="2"/>
      <c r="F16" s="2"/>
      <c r="G16" s="2"/>
      <c r="H16" s="8"/>
      <c r="I16" s="9"/>
      <c r="K16" s="15"/>
      <c r="L16" s="11"/>
    </row>
    <row r="17" spans="1:12" ht="24">
      <c r="A17" s="16" t="s">
        <v>6</v>
      </c>
      <c r="B17" s="2"/>
      <c r="C17" s="2"/>
      <c r="D17" s="2"/>
      <c r="E17" s="2"/>
      <c r="F17" s="2"/>
      <c r="G17" s="2"/>
      <c r="H17" s="8"/>
      <c r="I17" s="9"/>
      <c r="K17" s="10"/>
      <c r="L17" s="11"/>
    </row>
    <row r="18" spans="1:12" ht="24">
      <c r="A18" s="16" t="s">
        <v>136</v>
      </c>
      <c r="B18" s="2"/>
      <c r="C18" s="2"/>
      <c r="D18" s="166" t="s">
        <v>137</v>
      </c>
      <c r="E18" s="2"/>
      <c r="F18" s="166" t="s">
        <v>138</v>
      </c>
      <c r="G18" s="2"/>
      <c r="H18" s="8"/>
      <c r="I18" s="9"/>
      <c r="K18" s="10"/>
      <c r="L18" s="11"/>
    </row>
    <row r="19" spans="1:12" ht="24">
      <c r="A19" s="97"/>
      <c r="B19" s="2"/>
      <c r="C19" s="2"/>
      <c r="D19" s="2"/>
      <c r="E19" s="2"/>
      <c r="F19" s="14"/>
      <c r="G19" s="2"/>
      <c r="H19" s="8"/>
      <c r="I19" s="9"/>
      <c r="K19" s="401"/>
      <c r="L19" s="402"/>
    </row>
    <row r="20" spans="1:12" ht="24">
      <c r="A20" s="16"/>
      <c r="B20" s="2"/>
      <c r="C20" s="2"/>
      <c r="D20" s="2"/>
      <c r="E20" s="2"/>
      <c r="F20" s="2"/>
      <c r="G20" s="2"/>
      <c r="H20" s="8"/>
      <c r="I20" s="9"/>
      <c r="K20" s="10"/>
      <c r="L20" s="11"/>
    </row>
    <row r="21" spans="1:12" ht="24">
      <c r="A21" s="16"/>
      <c r="B21" s="2"/>
      <c r="C21" s="2"/>
      <c r="D21" s="2"/>
      <c r="E21" s="2"/>
      <c r="F21" s="2"/>
      <c r="G21" s="2"/>
      <c r="H21" s="8"/>
      <c r="I21" s="9"/>
      <c r="K21" s="10"/>
      <c r="L21" s="11"/>
    </row>
    <row r="22" spans="1:12" ht="24">
      <c r="A22" s="16"/>
      <c r="B22" s="2"/>
      <c r="C22" s="2"/>
      <c r="D22" s="2"/>
      <c r="E22" s="2"/>
      <c r="F22" s="2"/>
      <c r="G22" s="2"/>
      <c r="H22" s="8"/>
      <c r="I22" s="9"/>
      <c r="K22" s="10"/>
      <c r="L22" s="11"/>
    </row>
    <row r="23" spans="1:12" ht="24">
      <c r="A23" s="16"/>
      <c r="B23" s="2"/>
      <c r="C23" s="2"/>
      <c r="D23" s="2"/>
      <c r="E23" s="2"/>
      <c r="F23" s="2"/>
      <c r="G23" s="2"/>
      <c r="H23" s="8"/>
      <c r="I23" s="9"/>
      <c r="K23" s="10"/>
      <c r="L23" s="11"/>
    </row>
    <row r="24" spans="1:12" ht="24">
      <c r="A24" s="16"/>
      <c r="B24" s="2"/>
      <c r="C24" s="2"/>
      <c r="D24" s="2"/>
      <c r="E24" s="2"/>
      <c r="F24" s="2"/>
      <c r="G24" s="2"/>
      <c r="H24" s="8"/>
      <c r="I24" s="9"/>
      <c r="K24" s="10"/>
      <c r="L24" s="11"/>
    </row>
    <row r="25" spans="1:12" ht="24">
      <c r="A25" s="16"/>
      <c r="B25" s="2"/>
      <c r="C25" s="2"/>
      <c r="D25" s="2"/>
      <c r="E25" s="2"/>
      <c r="F25" s="2"/>
      <c r="G25" s="2"/>
      <c r="H25" s="8"/>
      <c r="I25" s="9"/>
      <c r="K25" s="10"/>
      <c r="L25" s="11"/>
    </row>
    <row r="26" spans="1:12" ht="24">
      <c r="A26" s="16"/>
      <c r="B26" s="2"/>
      <c r="C26" s="2"/>
      <c r="D26" s="2"/>
      <c r="E26" s="2"/>
      <c r="F26" s="2"/>
      <c r="G26" s="2"/>
      <c r="H26" s="8"/>
      <c r="I26" s="9"/>
      <c r="K26" s="10"/>
      <c r="L26" s="11"/>
    </row>
    <row r="27" spans="1:12" ht="24">
      <c r="A27" s="16"/>
      <c r="B27" s="2"/>
      <c r="C27" s="2"/>
      <c r="D27" s="2"/>
      <c r="E27" s="2"/>
      <c r="F27" s="2"/>
      <c r="G27" s="2"/>
      <c r="H27" s="8"/>
      <c r="I27" s="9"/>
      <c r="K27" s="10"/>
      <c r="L27" s="11"/>
    </row>
    <row r="28" spans="1:12" ht="24">
      <c r="A28" s="16"/>
      <c r="B28" s="2"/>
      <c r="C28" s="2"/>
      <c r="D28" s="2"/>
      <c r="E28" s="2"/>
      <c r="F28" s="2"/>
      <c r="G28" s="2"/>
      <c r="H28" s="8"/>
      <c r="I28" s="9"/>
      <c r="K28" s="10"/>
      <c r="L28" s="11"/>
    </row>
    <row r="29" spans="1:12" ht="24">
      <c r="A29" s="2"/>
      <c r="B29" s="2"/>
      <c r="C29" s="2"/>
      <c r="D29" s="2"/>
      <c r="E29" s="2"/>
      <c r="F29" s="2"/>
      <c r="G29" s="2"/>
      <c r="H29" s="8"/>
      <c r="I29" s="9"/>
      <c r="K29" s="10"/>
      <c r="L29" s="11"/>
    </row>
    <row r="30" spans="1:12" ht="24">
      <c r="A30" s="17" t="s">
        <v>267</v>
      </c>
      <c r="B30" s="5"/>
      <c r="C30" s="5"/>
      <c r="D30" s="5"/>
      <c r="E30" s="5"/>
      <c r="F30" s="5"/>
      <c r="G30" s="6"/>
      <c r="H30" s="18">
        <v>7256974.21</v>
      </c>
      <c r="I30" s="9"/>
      <c r="K30" s="387">
        <f>K6-K13</f>
        <v>2149176.51</v>
      </c>
      <c r="L30" s="388"/>
    </row>
    <row r="31" spans="1:9" ht="24">
      <c r="A31" s="1" t="s">
        <v>7</v>
      </c>
      <c r="B31" s="2"/>
      <c r="C31" s="2"/>
      <c r="D31" s="2"/>
      <c r="E31" s="8" t="s">
        <v>8</v>
      </c>
      <c r="F31" s="2"/>
      <c r="G31" s="2"/>
      <c r="H31" s="9"/>
      <c r="I31" s="5"/>
    </row>
    <row r="32" spans="1:9" ht="24">
      <c r="A32" s="1"/>
      <c r="B32" s="2"/>
      <c r="C32" s="2"/>
      <c r="D32" s="2"/>
      <c r="E32" s="8"/>
      <c r="F32" s="2"/>
      <c r="G32" s="2"/>
      <c r="H32" s="9"/>
      <c r="I32" s="9"/>
    </row>
    <row r="33" spans="1:9" ht="24">
      <c r="A33" s="2"/>
      <c r="B33" s="2"/>
      <c r="C33" s="2"/>
      <c r="D33" s="2"/>
      <c r="E33" s="8"/>
      <c r="F33" s="2"/>
      <c r="G33" s="2"/>
      <c r="H33" s="2"/>
      <c r="I33" s="9"/>
    </row>
    <row r="34" spans="1:11" ht="24">
      <c r="A34" s="1" t="s">
        <v>148</v>
      </c>
      <c r="B34" s="2"/>
      <c r="C34" s="24" t="s">
        <v>257</v>
      </c>
      <c r="D34" s="24"/>
      <c r="E34" s="25" t="s">
        <v>147</v>
      </c>
      <c r="F34" s="2"/>
      <c r="G34" s="2"/>
      <c r="H34" s="2"/>
      <c r="I34" s="2"/>
      <c r="K34" s="24" t="str">
        <f>C34</f>
        <v>วันที่ 31 ธ.ค.52</v>
      </c>
    </row>
    <row r="35" spans="1:12" ht="24">
      <c r="A35" s="17" t="s">
        <v>118</v>
      </c>
      <c r="B35" s="5"/>
      <c r="C35" s="5"/>
      <c r="D35" s="5"/>
      <c r="E35" s="19" t="s">
        <v>13</v>
      </c>
      <c r="F35" s="5"/>
      <c r="G35" s="5"/>
      <c r="H35" s="5"/>
      <c r="I35" s="5"/>
      <c r="J35" s="7"/>
      <c r="K35" s="7"/>
      <c r="L35" s="7"/>
    </row>
    <row r="36" spans="1:9" ht="24">
      <c r="A36" s="9"/>
      <c r="B36" s="9"/>
      <c r="C36" s="9"/>
      <c r="D36" s="9"/>
      <c r="E36" s="9"/>
      <c r="F36" s="9"/>
      <c r="G36" s="9"/>
      <c r="H36" s="9"/>
      <c r="I36" s="5"/>
    </row>
    <row r="37" spans="1:8" ht="21.75">
      <c r="A37" s="11"/>
      <c r="B37" s="11"/>
      <c r="C37" s="11"/>
      <c r="D37" s="11"/>
      <c r="E37" s="11"/>
      <c r="F37" s="11"/>
      <c r="G37" s="11"/>
      <c r="H37" s="11"/>
    </row>
  </sheetData>
  <mergeCells count="10">
    <mergeCell ref="H6:I6"/>
    <mergeCell ref="K12:L12"/>
    <mergeCell ref="K5:L5"/>
    <mergeCell ref="K30:L30"/>
    <mergeCell ref="K11:L11"/>
    <mergeCell ref="K6:L6"/>
    <mergeCell ref="K13:L13"/>
    <mergeCell ref="K9:L9"/>
    <mergeCell ref="K14:L14"/>
    <mergeCell ref="K19:L19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9"/>
  <sheetViews>
    <sheetView zoomScaleSheetLayoutView="100" workbookViewId="0" topLeftCell="A7">
      <selection activeCell="A33" sqref="A33"/>
    </sheetView>
  </sheetViews>
  <sheetFormatPr defaultColWidth="9.140625" defaultRowHeight="21.75"/>
  <cols>
    <col min="1" max="1" width="46.421875" style="271" customWidth="1"/>
    <col min="2" max="2" width="9.28125" style="306" customWidth="1"/>
    <col min="3" max="3" width="14.7109375" style="271" customWidth="1"/>
    <col min="4" max="4" width="4.7109375" style="271" customWidth="1"/>
    <col min="5" max="5" width="14.7109375" style="271" customWidth="1"/>
    <col min="6" max="6" width="4.7109375" style="271" customWidth="1"/>
    <col min="7" max="16384" width="9.140625" style="271" customWidth="1"/>
  </cols>
  <sheetData>
    <row r="1" spans="1:6" ht="21.75">
      <c r="A1" s="403" t="s">
        <v>60</v>
      </c>
      <c r="B1" s="403"/>
      <c r="C1" s="403"/>
      <c r="D1" s="403"/>
      <c r="E1" s="403"/>
      <c r="F1" s="403"/>
    </row>
    <row r="2" spans="1:6" ht="21.75">
      <c r="A2" s="403" t="s">
        <v>61</v>
      </c>
      <c r="B2" s="403"/>
      <c r="C2" s="403"/>
      <c r="D2" s="403"/>
      <c r="E2" s="403"/>
      <c r="F2" s="403"/>
    </row>
    <row r="3" spans="1:42" ht="21.75">
      <c r="A3" s="404" t="s">
        <v>284</v>
      </c>
      <c r="B3" s="404"/>
      <c r="C3" s="404"/>
      <c r="D3" s="404"/>
      <c r="E3" s="404"/>
      <c r="F3" s="404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</row>
    <row r="4" spans="1:42" ht="23.25" customHeight="1">
      <c r="A4" s="405" t="s">
        <v>28</v>
      </c>
      <c r="B4" s="407" t="s">
        <v>62</v>
      </c>
      <c r="C4" s="405" t="s">
        <v>63</v>
      </c>
      <c r="D4" s="405"/>
      <c r="E4" s="409" t="s">
        <v>64</v>
      </c>
      <c r="F4" s="410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</row>
    <row r="5" spans="1:42" ht="21.75">
      <c r="A5" s="406"/>
      <c r="B5" s="408"/>
      <c r="C5" s="406"/>
      <c r="D5" s="406"/>
      <c r="E5" s="411"/>
      <c r="F5" s="41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</row>
    <row r="6" spans="1:42" ht="21.75">
      <c r="A6" s="273" t="s">
        <v>139</v>
      </c>
      <c r="B6" s="274" t="s">
        <v>150</v>
      </c>
      <c r="C6" s="275" t="s">
        <v>70</v>
      </c>
      <c r="D6" s="276"/>
      <c r="E6" s="277"/>
      <c r="F6" s="278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</row>
    <row r="7" spans="1:6" ht="21.75">
      <c r="A7" s="279" t="s">
        <v>65</v>
      </c>
      <c r="B7" s="280" t="s">
        <v>151</v>
      </c>
      <c r="C7" s="281">
        <v>4319875</v>
      </c>
      <c r="D7" s="282" t="s">
        <v>70</v>
      </c>
      <c r="E7" s="283"/>
      <c r="F7" s="284"/>
    </row>
    <row r="8" spans="1:6" ht="21.75">
      <c r="A8" s="279" t="s">
        <v>125</v>
      </c>
      <c r="B8" s="280" t="s">
        <v>151</v>
      </c>
      <c r="C8" s="281">
        <v>572365</v>
      </c>
      <c r="D8" s="282">
        <v>4</v>
      </c>
      <c r="E8" s="283"/>
      <c r="F8" s="284"/>
    </row>
    <row r="9" spans="1:6" ht="21.75">
      <c r="A9" s="279" t="s">
        <v>66</v>
      </c>
      <c r="B9" s="280" t="s">
        <v>152</v>
      </c>
      <c r="C9" s="285">
        <v>4019867</v>
      </c>
      <c r="D9" s="286">
        <v>82</v>
      </c>
      <c r="E9" s="283"/>
      <c r="F9" s="284"/>
    </row>
    <row r="10" spans="1:6" ht="21.75">
      <c r="A10" s="279" t="s">
        <v>41</v>
      </c>
      <c r="B10" s="280" t="s">
        <v>153</v>
      </c>
      <c r="C10" s="285">
        <v>51229</v>
      </c>
      <c r="D10" s="284">
        <v>40</v>
      </c>
      <c r="E10" s="283"/>
      <c r="F10" s="284"/>
    </row>
    <row r="11" spans="1:6" ht="21.75">
      <c r="A11" s="279" t="s">
        <v>247</v>
      </c>
      <c r="B11" s="280" t="s">
        <v>212</v>
      </c>
      <c r="C11" s="285">
        <v>147094</v>
      </c>
      <c r="D11" s="288" t="s">
        <v>70</v>
      </c>
      <c r="E11" s="285"/>
      <c r="F11" s="284"/>
    </row>
    <row r="12" spans="1:6" ht="21.75">
      <c r="A12" s="279" t="s">
        <v>166</v>
      </c>
      <c r="B12" s="280" t="s">
        <v>154</v>
      </c>
      <c r="C12" s="285"/>
      <c r="D12" s="287"/>
      <c r="E12" s="285">
        <v>95275</v>
      </c>
      <c r="F12" s="284">
        <v>50</v>
      </c>
    </row>
    <row r="13" spans="1:6" ht="21.75">
      <c r="A13" s="279" t="s">
        <v>167</v>
      </c>
      <c r="B13" s="280" t="s">
        <v>155</v>
      </c>
      <c r="C13" s="285"/>
      <c r="D13" s="287"/>
      <c r="E13" s="285">
        <v>6400</v>
      </c>
      <c r="F13" s="284" t="s">
        <v>70</v>
      </c>
    </row>
    <row r="14" spans="1:6" ht="21.75">
      <c r="A14" s="279" t="s">
        <v>184</v>
      </c>
      <c r="B14" s="280" t="s">
        <v>183</v>
      </c>
      <c r="C14" s="281"/>
      <c r="D14" s="284"/>
      <c r="E14" s="285">
        <v>663983</v>
      </c>
      <c r="F14" s="286">
        <v>55</v>
      </c>
    </row>
    <row r="15" spans="1:6" ht="21.75">
      <c r="A15" s="279" t="s">
        <v>43</v>
      </c>
      <c r="B15" s="280" t="s">
        <v>180</v>
      </c>
      <c r="C15" s="285"/>
      <c r="D15" s="287"/>
      <c r="E15" s="285">
        <v>461680</v>
      </c>
      <c r="F15" s="286">
        <v>33</v>
      </c>
    </row>
    <row r="16" spans="1:6" ht="21.75">
      <c r="A16" s="279" t="s">
        <v>68</v>
      </c>
      <c r="B16" s="280" t="s">
        <v>181</v>
      </c>
      <c r="C16" s="285"/>
      <c r="D16" s="288"/>
      <c r="E16" s="281">
        <v>2331406</v>
      </c>
      <c r="F16" s="286">
        <v>54</v>
      </c>
    </row>
    <row r="17" spans="1:6" ht="21.75">
      <c r="A17" s="279" t="s">
        <v>185</v>
      </c>
      <c r="B17" s="280" t="s">
        <v>182</v>
      </c>
      <c r="C17" s="285"/>
      <c r="D17" s="284"/>
      <c r="E17" s="285">
        <v>13706928</v>
      </c>
      <c r="F17" s="282">
        <v>61</v>
      </c>
    </row>
    <row r="18" spans="1:6" ht="21.75">
      <c r="A18" s="279" t="s">
        <v>46</v>
      </c>
      <c r="B18" s="280" t="s">
        <v>208</v>
      </c>
      <c r="C18" s="285">
        <v>2639069</v>
      </c>
      <c r="D18" s="282">
        <v>79</v>
      </c>
      <c r="E18" s="285"/>
      <c r="F18" s="282"/>
    </row>
    <row r="19" spans="1:6" ht="21.75">
      <c r="A19" s="279" t="s">
        <v>241</v>
      </c>
      <c r="B19" s="280" t="s">
        <v>243</v>
      </c>
      <c r="C19" s="285">
        <v>551082</v>
      </c>
      <c r="D19" s="282">
        <v>26</v>
      </c>
      <c r="E19" s="285"/>
      <c r="F19" s="282"/>
    </row>
    <row r="20" spans="1:6" ht="21.75">
      <c r="A20" s="279" t="s">
        <v>242</v>
      </c>
      <c r="B20" s="280" t="s">
        <v>244</v>
      </c>
      <c r="C20" s="285">
        <v>1471726</v>
      </c>
      <c r="D20" s="282" t="s">
        <v>70</v>
      </c>
      <c r="E20" s="285"/>
      <c r="F20" s="282"/>
    </row>
    <row r="21" spans="1:6" ht="21.75">
      <c r="A21" s="279" t="s">
        <v>47</v>
      </c>
      <c r="B21" s="280" t="s">
        <v>175</v>
      </c>
      <c r="C21" s="285">
        <v>205315</v>
      </c>
      <c r="D21" s="284" t="s">
        <v>70</v>
      </c>
      <c r="E21" s="285"/>
      <c r="F21" s="284"/>
    </row>
    <row r="22" spans="1:6" ht="21.75">
      <c r="A22" s="279" t="s">
        <v>48</v>
      </c>
      <c r="B22" s="280" t="s">
        <v>176</v>
      </c>
      <c r="C22" s="285">
        <v>329811</v>
      </c>
      <c r="D22" s="284" t="s">
        <v>70</v>
      </c>
      <c r="E22" s="285"/>
      <c r="F22" s="284"/>
    </row>
    <row r="23" spans="1:6" ht="21.75">
      <c r="A23" s="279" t="s">
        <v>49</v>
      </c>
      <c r="B23" s="280" t="s">
        <v>177</v>
      </c>
      <c r="C23" s="285">
        <v>255568</v>
      </c>
      <c r="D23" s="284" t="s">
        <v>70</v>
      </c>
      <c r="E23" s="285"/>
      <c r="F23" s="284"/>
    </row>
    <row r="24" spans="1:6" ht="21.75">
      <c r="A24" s="279" t="s">
        <v>67</v>
      </c>
      <c r="B24" s="280" t="s">
        <v>178</v>
      </c>
      <c r="C24" s="285">
        <v>98726</v>
      </c>
      <c r="D24" s="284">
        <v>22</v>
      </c>
      <c r="E24" s="285"/>
      <c r="F24" s="284"/>
    </row>
    <row r="25" spans="1:6" ht="21.75">
      <c r="A25" s="279" t="s">
        <v>50</v>
      </c>
      <c r="B25" s="280" t="s">
        <v>258</v>
      </c>
      <c r="C25" s="285">
        <v>27700</v>
      </c>
      <c r="D25" s="284" t="s">
        <v>70</v>
      </c>
      <c r="E25" s="285"/>
      <c r="F25" s="284"/>
    </row>
    <row r="26" spans="1:6" ht="21.75">
      <c r="A26" s="279" t="s">
        <v>51</v>
      </c>
      <c r="B26" s="280" t="s">
        <v>179</v>
      </c>
      <c r="C26" s="285">
        <v>1795000</v>
      </c>
      <c r="D26" s="284" t="s">
        <v>70</v>
      </c>
      <c r="E26" s="285"/>
      <c r="F26" s="284"/>
    </row>
    <row r="27" spans="1:6" ht="21.75">
      <c r="A27" s="279" t="s">
        <v>259</v>
      </c>
      <c r="B27" s="280" t="s">
        <v>210</v>
      </c>
      <c r="C27" s="285">
        <v>342245</v>
      </c>
      <c r="D27" s="284" t="s">
        <v>70</v>
      </c>
      <c r="E27" s="285"/>
      <c r="F27" s="284"/>
    </row>
    <row r="28" spans="1:6" ht="21.75">
      <c r="A28" s="279" t="s">
        <v>40</v>
      </c>
      <c r="B28" s="280" t="s">
        <v>209</v>
      </c>
      <c r="C28" s="285">
        <v>439000</v>
      </c>
      <c r="D28" s="286" t="s">
        <v>70</v>
      </c>
      <c r="E28" s="285"/>
      <c r="F28" s="286"/>
    </row>
    <row r="29" spans="1:6" ht="21.75">
      <c r="A29" s="279"/>
      <c r="B29" s="280"/>
      <c r="C29" s="289"/>
      <c r="D29" s="288"/>
      <c r="E29" s="285"/>
      <c r="F29" s="290"/>
    </row>
    <row r="30" spans="1:6" ht="21.75">
      <c r="A30" s="279"/>
      <c r="B30" s="280"/>
      <c r="C30" s="289"/>
      <c r="D30" s="288"/>
      <c r="E30" s="285"/>
      <c r="F30" s="290"/>
    </row>
    <row r="31" spans="1:6" ht="21.75">
      <c r="A31" s="279"/>
      <c r="B31" s="280"/>
      <c r="C31" s="289"/>
      <c r="D31" s="288"/>
      <c r="E31" s="285"/>
      <c r="F31" s="290"/>
    </row>
    <row r="32" spans="1:6" ht="21.75">
      <c r="A32" s="279"/>
      <c r="B32" s="280"/>
      <c r="C32" s="289"/>
      <c r="D32" s="288"/>
      <c r="E32" s="285"/>
      <c r="F32" s="290"/>
    </row>
    <row r="33" spans="1:6" ht="21.75">
      <c r="A33" s="291"/>
      <c r="B33" s="280"/>
      <c r="C33" s="292"/>
      <c r="D33" s="288"/>
      <c r="E33" s="281"/>
      <c r="F33" s="293"/>
    </row>
    <row r="34" spans="1:6" ht="21.75">
      <c r="A34" s="294"/>
      <c r="B34" s="295"/>
      <c r="C34" s="296"/>
      <c r="D34" s="297"/>
      <c r="E34" s="289"/>
      <c r="F34" s="293"/>
    </row>
    <row r="35" spans="2:6" ht="22.5" thickBot="1">
      <c r="B35" s="298"/>
      <c r="C35" s="299">
        <f>INT(SUM(C6:C34)+SUM(D6:D34)/100)</f>
        <v>17265674</v>
      </c>
      <c r="D35" s="300">
        <f>MOD(SUM(D6:D34),100)</f>
        <v>53</v>
      </c>
      <c r="E35" s="299">
        <f>INT(SUM(E6:E34)+SUM(F6:F34)/100)</f>
        <v>17265674</v>
      </c>
      <c r="F35" s="301">
        <f>MOD(SUM(F6:F34),100)</f>
        <v>53</v>
      </c>
    </row>
    <row r="36" spans="2:6" ht="22.5" thickTop="1">
      <c r="B36" s="298"/>
      <c r="C36" s="302"/>
      <c r="D36" s="303"/>
      <c r="E36" s="302"/>
      <c r="F36" s="303"/>
    </row>
    <row r="37" spans="1:6" ht="21.75">
      <c r="A37" s="382" t="s">
        <v>127</v>
      </c>
      <c r="B37" s="382"/>
      <c r="C37" s="382"/>
      <c r="D37" s="382"/>
      <c r="E37" s="382"/>
      <c r="F37" s="382"/>
    </row>
    <row r="38" spans="1:6" ht="21.75">
      <c r="A38" s="305" t="s">
        <v>128</v>
      </c>
      <c r="B38" s="305"/>
      <c r="C38" s="305"/>
      <c r="D38" s="305"/>
      <c r="E38" s="305"/>
      <c r="F38" s="305"/>
    </row>
    <row r="39" spans="1:5" ht="21.75">
      <c r="A39" s="304" t="s">
        <v>129</v>
      </c>
      <c r="C39" s="305"/>
      <c r="D39" s="305"/>
      <c r="E39" s="305"/>
    </row>
  </sheetData>
  <mergeCells count="8">
    <mergeCell ref="A37:F37"/>
    <mergeCell ref="A1:F1"/>
    <mergeCell ref="A2:F2"/>
    <mergeCell ref="A3:F3"/>
    <mergeCell ref="A4:A5"/>
    <mergeCell ref="B4:B5"/>
    <mergeCell ref="C4:D5"/>
    <mergeCell ref="E4:F5"/>
  </mergeCells>
  <printOptions/>
  <pageMargins left="0.4724409448818898" right="0.4724409448818898" top="0.31496062992125984" bottom="0.1968503937007874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SheetLayoutView="100" workbookViewId="0" topLeftCell="A136">
      <selection activeCell="B15" sqref="B15"/>
    </sheetView>
  </sheetViews>
  <sheetFormatPr defaultColWidth="9.140625" defaultRowHeight="21.75"/>
  <cols>
    <col min="1" max="1" width="9.140625" style="100" customWidth="1"/>
    <col min="2" max="2" width="50.8515625" style="100" customWidth="1"/>
    <col min="3" max="5" width="14.7109375" style="100" customWidth="1"/>
    <col min="6" max="16384" width="9.140625" style="100" customWidth="1"/>
  </cols>
  <sheetData>
    <row r="1" spans="1:8" ht="23.25">
      <c r="A1" s="413" t="s">
        <v>58</v>
      </c>
      <c r="B1" s="413"/>
      <c r="C1" s="413"/>
      <c r="D1" s="413"/>
      <c r="E1" s="413"/>
      <c r="F1" s="231"/>
      <c r="G1" s="231"/>
      <c r="H1" s="231"/>
    </row>
    <row r="2" spans="1:8" ht="23.25">
      <c r="A2" s="383" t="s">
        <v>164</v>
      </c>
      <c r="B2" s="383"/>
      <c r="C2" s="383"/>
      <c r="D2" s="383"/>
      <c r="E2" s="383"/>
      <c r="F2" s="231"/>
      <c r="G2" s="231"/>
      <c r="H2" s="231"/>
    </row>
    <row r="3" spans="1:8" ht="23.25">
      <c r="A3" s="383" t="s">
        <v>285</v>
      </c>
      <c r="B3" s="383"/>
      <c r="C3" s="383"/>
      <c r="D3" s="383"/>
      <c r="E3" s="383"/>
      <c r="F3" s="231"/>
      <c r="G3" s="231"/>
      <c r="H3" s="231"/>
    </row>
    <row r="4" spans="1:8" ht="23.25">
      <c r="A4" s="383" t="s">
        <v>168</v>
      </c>
      <c r="B4" s="383"/>
      <c r="C4" s="383"/>
      <c r="D4" s="383"/>
      <c r="E4" s="383"/>
      <c r="F4" s="231"/>
      <c r="G4" s="231"/>
      <c r="H4" s="231"/>
    </row>
    <row r="5" spans="1:5" ht="21">
      <c r="A5" s="238" t="s">
        <v>269</v>
      </c>
      <c r="B5" s="238" t="s">
        <v>28</v>
      </c>
      <c r="C5" s="238" t="s">
        <v>63</v>
      </c>
      <c r="D5" s="238" t="s">
        <v>64</v>
      </c>
      <c r="E5" s="238" t="s">
        <v>163</v>
      </c>
    </row>
    <row r="6" spans="1:5" ht="23.25">
      <c r="A6" s="344">
        <v>1</v>
      </c>
      <c r="B6" s="342" t="s">
        <v>186</v>
      </c>
      <c r="C6" s="345">
        <v>0</v>
      </c>
      <c r="D6" s="345"/>
      <c r="E6" s="345">
        <f>128520-48244.5</f>
        <v>80275.5</v>
      </c>
    </row>
    <row r="7" spans="1:5" ht="23.25">
      <c r="A7" s="232">
        <v>2</v>
      </c>
      <c r="B7" s="346" t="s">
        <v>187</v>
      </c>
      <c r="C7" s="347"/>
      <c r="D7" s="347"/>
      <c r="E7" s="347">
        <v>15000</v>
      </c>
    </row>
    <row r="8" spans="1:5" ht="23.25">
      <c r="A8" s="232"/>
      <c r="B8" s="346"/>
      <c r="C8" s="347"/>
      <c r="D8" s="347"/>
      <c r="E8" s="347"/>
    </row>
    <row r="9" spans="1:5" ht="24" thickBot="1">
      <c r="A9" s="338"/>
      <c r="B9" s="339"/>
      <c r="C9" s="341">
        <f>SUM(C6:C8)</f>
        <v>0</v>
      </c>
      <c r="D9" s="341"/>
      <c r="E9" s="341">
        <f>SUM(E6:E8)</f>
        <v>95275.5</v>
      </c>
    </row>
    <row r="10" spans="1:2" ht="24" thickTop="1">
      <c r="A10" s="101"/>
      <c r="B10" s="79"/>
    </row>
    <row r="11" spans="1:2" ht="23.25">
      <c r="A11" s="101"/>
      <c r="B11" s="79"/>
    </row>
    <row r="29" spans="2:4" ht="23.25">
      <c r="B29" s="79"/>
      <c r="C29" s="145" t="s">
        <v>101</v>
      </c>
      <c r="D29" s="79"/>
    </row>
    <row r="30" spans="2:4" ht="23.25">
      <c r="B30" s="79"/>
      <c r="C30" s="79"/>
      <c r="D30" s="79"/>
    </row>
    <row r="31" spans="2:4" ht="23.25">
      <c r="B31" s="79"/>
      <c r="C31" s="145" t="s">
        <v>102</v>
      </c>
      <c r="D31" s="79"/>
    </row>
    <row r="32" spans="2:4" ht="23.25">
      <c r="B32" s="79"/>
      <c r="C32" s="145" t="s">
        <v>100</v>
      </c>
      <c r="D32" s="79"/>
    </row>
    <row r="34" spans="1:8" ht="23.25">
      <c r="A34" s="413" t="s">
        <v>141</v>
      </c>
      <c r="B34" s="413"/>
      <c r="C34" s="413"/>
      <c r="D34" s="413"/>
      <c r="E34" s="413"/>
      <c r="F34" s="231"/>
      <c r="G34" s="231"/>
      <c r="H34" s="231"/>
    </row>
    <row r="35" spans="1:8" ht="23.25">
      <c r="A35" s="383" t="s">
        <v>164</v>
      </c>
      <c r="B35" s="383"/>
      <c r="C35" s="383"/>
      <c r="D35" s="383"/>
      <c r="E35" s="383"/>
      <c r="F35" s="231"/>
      <c r="G35" s="231"/>
      <c r="H35" s="231"/>
    </row>
    <row r="36" spans="1:8" ht="23.25">
      <c r="A36" s="383" t="s">
        <v>285</v>
      </c>
      <c r="B36" s="383"/>
      <c r="C36" s="383"/>
      <c r="D36" s="383"/>
      <c r="E36" s="383"/>
      <c r="F36" s="231"/>
      <c r="G36" s="231"/>
      <c r="H36" s="231"/>
    </row>
    <row r="37" spans="1:8" ht="23.25">
      <c r="A37" s="383" t="s">
        <v>165</v>
      </c>
      <c r="B37" s="383"/>
      <c r="C37" s="383"/>
      <c r="D37" s="383"/>
      <c r="E37" s="383"/>
      <c r="F37" s="231"/>
      <c r="G37" s="231"/>
      <c r="H37" s="231"/>
    </row>
    <row r="38" spans="1:5" ht="21">
      <c r="A38" s="337"/>
      <c r="B38" s="337"/>
      <c r="C38" s="238" t="s">
        <v>63</v>
      </c>
      <c r="D38" s="238" t="s">
        <v>64</v>
      </c>
      <c r="E38" s="238" t="s">
        <v>163</v>
      </c>
    </row>
    <row r="39" spans="1:5" ht="21">
      <c r="A39" s="232">
        <v>1</v>
      </c>
      <c r="B39" s="343" t="s">
        <v>188</v>
      </c>
      <c r="C39" s="234"/>
      <c r="D39" s="343"/>
      <c r="E39" s="234">
        <v>6400</v>
      </c>
    </row>
    <row r="40" spans="1:5" ht="21">
      <c r="A40" s="232">
        <v>2</v>
      </c>
      <c r="B40" s="343" t="s">
        <v>189</v>
      </c>
      <c r="C40" s="234">
        <v>0</v>
      </c>
      <c r="D40" s="343"/>
      <c r="E40" s="234"/>
    </row>
    <row r="41" spans="1:5" ht="21">
      <c r="A41" s="232">
        <v>3</v>
      </c>
      <c r="B41" s="343" t="s">
        <v>190</v>
      </c>
      <c r="C41" s="234">
        <v>0</v>
      </c>
      <c r="D41" s="343"/>
      <c r="E41" s="234"/>
    </row>
    <row r="42" spans="1:5" ht="21">
      <c r="A42" s="343"/>
      <c r="B42" s="343"/>
      <c r="C42" s="234"/>
      <c r="D42" s="343"/>
      <c r="E42" s="343"/>
    </row>
    <row r="43" spans="1:5" ht="21.75" thickBot="1">
      <c r="A43" s="337"/>
      <c r="B43" s="337"/>
      <c r="C43" s="348">
        <f>SUM(C39:C42)</f>
        <v>0</v>
      </c>
      <c r="D43" s="340"/>
      <c r="E43" s="242">
        <f>SUM(E39:E42)</f>
        <v>6400</v>
      </c>
    </row>
    <row r="44" ht="21.75" thickTop="1"/>
    <row r="59" spans="2:4" ht="23.25">
      <c r="B59" s="79"/>
      <c r="C59" s="145" t="s">
        <v>101</v>
      </c>
      <c r="D59" s="79"/>
    </row>
    <row r="60" spans="2:4" ht="23.25">
      <c r="B60" s="79"/>
      <c r="C60" s="79"/>
      <c r="D60" s="79"/>
    </row>
    <row r="61" spans="2:4" ht="23.25">
      <c r="B61" s="79"/>
      <c r="C61" s="145" t="s">
        <v>102</v>
      </c>
      <c r="D61" s="79"/>
    </row>
    <row r="62" spans="2:4" ht="23.25">
      <c r="B62" s="79"/>
      <c r="C62" s="145" t="s">
        <v>100</v>
      </c>
      <c r="D62" s="79"/>
    </row>
    <row r="63" spans="2:4" ht="23.25">
      <c r="B63" s="79"/>
      <c r="C63" s="145"/>
      <c r="D63" s="79"/>
    </row>
    <row r="64" spans="2:4" ht="23.25">
      <c r="B64" s="79"/>
      <c r="C64" s="145"/>
      <c r="D64" s="79"/>
    </row>
    <row r="65" spans="2:4" ht="23.25">
      <c r="B65" s="79"/>
      <c r="C65" s="145"/>
      <c r="D65" s="79"/>
    </row>
    <row r="68" spans="1:8" ht="23.25">
      <c r="A68" s="413" t="s">
        <v>126</v>
      </c>
      <c r="B68" s="413"/>
      <c r="C68" s="413"/>
      <c r="D68" s="413"/>
      <c r="E68" s="413"/>
      <c r="F68" s="231"/>
      <c r="G68" s="231"/>
      <c r="H68" s="231"/>
    </row>
    <row r="69" spans="1:8" ht="23.25">
      <c r="A69" s="383" t="s">
        <v>164</v>
      </c>
      <c r="B69" s="383"/>
      <c r="C69" s="383"/>
      <c r="D69" s="383"/>
      <c r="E69" s="383"/>
      <c r="F69" s="231"/>
      <c r="G69" s="231"/>
      <c r="H69" s="231"/>
    </row>
    <row r="70" spans="1:8" ht="23.25">
      <c r="A70" s="383" t="s">
        <v>286</v>
      </c>
      <c r="B70" s="383"/>
      <c r="C70" s="383"/>
      <c r="D70" s="383"/>
      <c r="E70" s="383"/>
      <c r="F70" s="231"/>
      <c r="G70" s="231"/>
      <c r="H70" s="231"/>
    </row>
    <row r="71" spans="1:8" ht="23.25">
      <c r="A71" s="371" t="s">
        <v>59</v>
      </c>
      <c r="B71" s="371"/>
      <c r="C71" s="371"/>
      <c r="D71" s="371"/>
      <c r="E71" s="371"/>
      <c r="F71" s="231"/>
      <c r="G71" s="231"/>
      <c r="H71" s="231"/>
    </row>
    <row r="72" spans="1:5" s="101" customFormat="1" ht="21">
      <c r="A72" s="238" t="s">
        <v>162</v>
      </c>
      <c r="B72" s="238" t="s">
        <v>28</v>
      </c>
      <c r="C72" s="238" t="s">
        <v>63</v>
      </c>
      <c r="D72" s="238" t="s">
        <v>64</v>
      </c>
      <c r="E72" s="238" t="s">
        <v>163</v>
      </c>
    </row>
    <row r="73" spans="1:5" ht="23.25">
      <c r="A73" s="232">
        <v>1</v>
      </c>
      <c r="B73" s="233" t="s">
        <v>156</v>
      </c>
      <c r="C73" s="234">
        <v>995.15</v>
      </c>
      <c r="D73" s="234">
        <v>962.54</v>
      </c>
      <c r="E73" s="234">
        <v>1878.43</v>
      </c>
    </row>
    <row r="74" spans="1:5" ht="23.25">
      <c r="A74" s="239">
        <v>2</v>
      </c>
      <c r="B74" s="240" t="s">
        <v>157</v>
      </c>
      <c r="C74" s="241">
        <v>0</v>
      </c>
      <c r="D74" s="241">
        <v>0</v>
      </c>
      <c r="E74" s="241">
        <v>82977.25</v>
      </c>
    </row>
    <row r="75" spans="1:5" ht="23.25">
      <c r="A75" s="239">
        <v>3</v>
      </c>
      <c r="B75" s="240" t="s">
        <v>158</v>
      </c>
      <c r="C75" s="241">
        <v>4672.74</v>
      </c>
      <c r="D75" s="241">
        <v>539.35</v>
      </c>
      <c r="E75" s="241">
        <v>2119.52</v>
      </c>
    </row>
    <row r="76" spans="1:5" ht="23.25">
      <c r="A76" s="239">
        <v>4</v>
      </c>
      <c r="B76" s="240" t="s">
        <v>159</v>
      </c>
      <c r="C76" s="241">
        <v>5607.27</v>
      </c>
      <c r="D76" s="241">
        <v>647.22</v>
      </c>
      <c r="E76" s="241">
        <v>2543.31</v>
      </c>
    </row>
    <row r="77" spans="1:5" ht="23.25">
      <c r="A77" s="239">
        <v>5</v>
      </c>
      <c r="B77" s="240" t="s">
        <v>160</v>
      </c>
      <c r="C77" s="241">
        <v>0</v>
      </c>
      <c r="D77" s="241">
        <v>0</v>
      </c>
      <c r="E77" s="241">
        <v>572365.04</v>
      </c>
    </row>
    <row r="78" spans="1:5" ht="23.25">
      <c r="A78" s="235">
        <v>6</v>
      </c>
      <c r="B78" s="236" t="s">
        <v>161</v>
      </c>
      <c r="C78" s="237">
        <v>0</v>
      </c>
      <c r="D78" s="237">
        <v>0</v>
      </c>
      <c r="E78" s="237">
        <v>2100</v>
      </c>
    </row>
    <row r="79" spans="3:5" ht="21.75" thickBot="1">
      <c r="C79" s="242">
        <f>SUM(C73:C78)</f>
        <v>11275.16</v>
      </c>
      <c r="D79" s="242">
        <f>SUM(D73:D78)</f>
        <v>2149.1099999999997</v>
      </c>
      <c r="E79" s="242">
        <f>SUM(E73:E78)</f>
        <v>663983.55</v>
      </c>
    </row>
    <row r="80" spans="3:5" ht="21.75" thickTop="1">
      <c r="C80" s="243"/>
      <c r="D80" s="243"/>
      <c r="E80" s="243"/>
    </row>
    <row r="81" spans="3:5" ht="21">
      <c r="C81" s="243"/>
      <c r="D81" s="243"/>
      <c r="E81" s="243"/>
    </row>
    <row r="82" spans="3:5" ht="21">
      <c r="C82" s="243"/>
      <c r="D82" s="243"/>
      <c r="E82" s="243"/>
    </row>
    <row r="83" spans="2:5" ht="23.25">
      <c r="B83" s="79"/>
      <c r="C83" s="145" t="s">
        <v>101</v>
      </c>
      <c r="D83" s="79"/>
      <c r="E83" s="243"/>
    </row>
    <row r="84" spans="2:5" ht="23.25">
      <c r="B84" s="79"/>
      <c r="C84" s="79"/>
      <c r="D84" s="79"/>
      <c r="E84" s="243"/>
    </row>
    <row r="85" spans="2:4" ht="23.25">
      <c r="B85" s="79"/>
      <c r="C85" s="145" t="s">
        <v>102</v>
      </c>
      <c r="D85" s="79"/>
    </row>
    <row r="86" spans="2:4" ht="23.25">
      <c r="B86" s="79"/>
      <c r="C86" s="145" t="s">
        <v>100</v>
      </c>
      <c r="D86" s="79"/>
    </row>
    <row r="87" spans="2:4" ht="23.25">
      <c r="B87" s="79"/>
      <c r="C87" s="145"/>
      <c r="D87" s="79"/>
    </row>
    <row r="88" spans="2:4" ht="23.25">
      <c r="B88" s="79"/>
      <c r="C88" s="145"/>
      <c r="D88" s="79"/>
    </row>
    <row r="89" spans="2:4" ht="23.25">
      <c r="B89" s="79"/>
      <c r="C89" s="145"/>
      <c r="D89" s="79"/>
    </row>
    <row r="90" spans="2:4" ht="23.25">
      <c r="B90" s="79"/>
      <c r="C90" s="145"/>
      <c r="D90" s="79"/>
    </row>
    <row r="91" spans="2:4" ht="23.25">
      <c r="B91" s="79"/>
      <c r="C91" s="145"/>
      <c r="D91" s="79"/>
    </row>
    <row r="92" spans="2:4" ht="23.25">
      <c r="B92" s="79"/>
      <c r="C92" s="145"/>
      <c r="D92" s="79"/>
    </row>
    <row r="93" spans="2:4" ht="23.25">
      <c r="B93" s="79"/>
      <c r="C93" s="145"/>
      <c r="D93" s="79"/>
    </row>
    <row r="94" spans="2:4" ht="23.25">
      <c r="B94" s="79"/>
      <c r="C94" s="145"/>
      <c r="D94" s="79"/>
    </row>
    <row r="95" spans="2:4" ht="23.25">
      <c r="B95" s="79"/>
      <c r="C95" s="145"/>
      <c r="D95" s="79"/>
    </row>
    <row r="96" spans="2:4" ht="23.25">
      <c r="B96" s="79"/>
      <c r="C96" s="145"/>
      <c r="D96" s="79"/>
    </row>
    <row r="97" spans="2:4" ht="23.25">
      <c r="B97" s="79"/>
      <c r="C97" s="145"/>
      <c r="D97" s="79"/>
    </row>
    <row r="98" spans="2:4" ht="23.25">
      <c r="B98" s="79"/>
      <c r="C98" s="145"/>
      <c r="D98" s="79"/>
    </row>
    <row r="99" spans="2:4" ht="23.25">
      <c r="B99" s="79"/>
      <c r="C99" s="145"/>
      <c r="D99" s="79"/>
    </row>
    <row r="100" spans="1:10" ht="23.25">
      <c r="A100" s="413" t="s">
        <v>169</v>
      </c>
      <c r="B100" s="413"/>
      <c r="C100" s="413"/>
      <c r="D100" s="413"/>
      <c r="E100" s="413"/>
      <c r="F100" s="231"/>
      <c r="G100" s="231"/>
      <c r="H100" s="231"/>
      <c r="I100" s="170"/>
      <c r="J100" s="170"/>
    </row>
    <row r="101" spans="1:8" ht="23.25">
      <c r="A101" s="383" t="s">
        <v>164</v>
      </c>
      <c r="B101" s="383"/>
      <c r="C101" s="383"/>
      <c r="D101" s="383"/>
      <c r="E101" s="383"/>
      <c r="F101" s="231"/>
      <c r="G101" s="231"/>
      <c r="H101" s="231"/>
    </row>
    <row r="102" spans="1:8" ht="23.25">
      <c r="A102" s="383" t="s">
        <v>285</v>
      </c>
      <c r="B102" s="383"/>
      <c r="C102" s="383"/>
      <c r="D102" s="383"/>
      <c r="E102" s="383"/>
      <c r="F102" s="231"/>
      <c r="G102" s="231"/>
      <c r="H102" s="231"/>
    </row>
    <row r="103" spans="1:8" ht="23.25">
      <c r="A103" s="383" t="s">
        <v>135</v>
      </c>
      <c r="B103" s="383"/>
      <c r="C103" s="383"/>
      <c r="D103" s="383"/>
      <c r="E103" s="383"/>
      <c r="F103" s="231"/>
      <c r="G103" s="231"/>
      <c r="H103" s="231"/>
    </row>
    <row r="104" spans="1:10" ht="21">
      <c r="A104" s="238" t="s">
        <v>162</v>
      </c>
      <c r="B104" s="238" t="s">
        <v>28</v>
      </c>
      <c r="C104" s="238" t="s">
        <v>25</v>
      </c>
      <c r="D104" s="238" t="s">
        <v>170</v>
      </c>
      <c r="E104" s="170"/>
      <c r="F104" s="170"/>
      <c r="G104" s="170"/>
      <c r="H104" s="170"/>
      <c r="I104" s="170"/>
      <c r="J104" s="170"/>
    </row>
    <row r="105" spans="1:10" ht="21">
      <c r="A105" s="244" t="s">
        <v>33</v>
      </c>
      <c r="B105" s="245"/>
      <c r="C105" s="246"/>
      <c r="D105" s="246"/>
      <c r="E105" s="170"/>
      <c r="F105" s="170"/>
      <c r="G105" s="170"/>
      <c r="H105" s="170"/>
      <c r="I105" s="170"/>
      <c r="J105" s="170"/>
    </row>
    <row r="106" spans="1:10" ht="21">
      <c r="A106" s="239">
        <v>1</v>
      </c>
      <c r="B106" s="249" t="s">
        <v>270</v>
      </c>
      <c r="C106" s="250">
        <v>13472.9</v>
      </c>
      <c r="D106" s="250">
        <f>1148.1+13472.9</f>
        <v>14621</v>
      </c>
      <c r="E106" s="170"/>
      <c r="F106" s="170"/>
      <c r="G106" s="172"/>
      <c r="H106" s="170"/>
      <c r="I106" s="170"/>
      <c r="J106" s="170"/>
    </row>
    <row r="107" spans="1:10" ht="21">
      <c r="A107" s="239">
        <v>2</v>
      </c>
      <c r="B107" s="249" t="s">
        <v>171</v>
      </c>
      <c r="C107" s="250">
        <v>9600.43</v>
      </c>
      <c r="D107" s="250">
        <f>3767.28+10236.96+13045.09+28126.85+9600.43</f>
        <v>64776.61</v>
      </c>
      <c r="E107" s="170"/>
      <c r="F107" s="170"/>
      <c r="G107" s="172"/>
      <c r="H107" s="170"/>
      <c r="I107" s="170"/>
      <c r="J107" s="170"/>
    </row>
    <row r="108" spans="1:10" ht="21">
      <c r="A108" s="239">
        <v>3</v>
      </c>
      <c r="B108" s="249" t="s">
        <v>287</v>
      </c>
      <c r="C108" s="250">
        <v>200</v>
      </c>
      <c r="D108" s="250">
        <v>200</v>
      </c>
      <c r="E108" s="170"/>
      <c r="F108" s="170"/>
      <c r="G108" s="172"/>
      <c r="H108" s="170"/>
      <c r="I108" s="170"/>
      <c r="J108" s="170"/>
    </row>
    <row r="109" spans="1:10" ht="21">
      <c r="A109" s="239">
        <v>4</v>
      </c>
      <c r="B109" s="249" t="s">
        <v>191</v>
      </c>
      <c r="C109" s="250"/>
      <c r="D109" s="250">
        <f>686285.04+774151.93</f>
        <v>1460436.9700000002</v>
      </c>
      <c r="E109" s="170"/>
      <c r="F109" s="170"/>
      <c r="G109" s="172"/>
      <c r="H109" s="170"/>
      <c r="I109" s="170"/>
      <c r="J109" s="170"/>
    </row>
    <row r="110" spans="1:10" ht="21">
      <c r="A110" s="239">
        <v>5</v>
      </c>
      <c r="B110" s="249" t="s">
        <v>192</v>
      </c>
      <c r="C110" s="250">
        <v>91441.88</v>
      </c>
      <c r="D110" s="250">
        <f>116606.8+117695.63+130830.49+126786.67+91441.88</f>
        <v>583361.47</v>
      </c>
      <c r="E110" s="170"/>
      <c r="F110" s="170"/>
      <c r="G110" s="172"/>
      <c r="H110" s="170"/>
      <c r="I110" s="170"/>
      <c r="J110" s="170"/>
    </row>
    <row r="111" spans="1:10" ht="21">
      <c r="A111" s="239">
        <v>6</v>
      </c>
      <c r="B111" s="249" t="s">
        <v>172</v>
      </c>
      <c r="C111" s="250">
        <v>64171.43</v>
      </c>
      <c r="D111" s="250">
        <f>51144.17+54134.89+66010.17+74039.79+64171.43</f>
        <v>309500.44999999995</v>
      </c>
      <c r="E111" s="170"/>
      <c r="F111" s="170"/>
      <c r="G111" s="172"/>
      <c r="H111" s="170"/>
      <c r="I111" s="170"/>
      <c r="J111" s="170"/>
    </row>
    <row r="112" spans="1:10" ht="21">
      <c r="A112" s="239">
        <v>7</v>
      </c>
      <c r="B112" s="249" t="s">
        <v>173</v>
      </c>
      <c r="C112" s="250">
        <v>178348.27</v>
      </c>
      <c r="D112" s="250">
        <f>149588.32+170104.18+155419.16+177227.88+178348.27</f>
        <v>830687.81</v>
      </c>
      <c r="E112" s="170"/>
      <c r="F112" s="170"/>
      <c r="G112" s="172"/>
      <c r="H112" s="170"/>
      <c r="I112" s="170"/>
      <c r="J112" s="170"/>
    </row>
    <row r="113" spans="1:10" ht="21">
      <c r="A113" s="239">
        <v>8</v>
      </c>
      <c r="B113" s="249" t="s">
        <v>260</v>
      </c>
      <c r="C113" s="254"/>
      <c r="D113" s="254">
        <v>16099.22</v>
      </c>
      <c r="E113" s="170"/>
      <c r="F113" s="170"/>
      <c r="G113" s="172"/>
      <c r="H113" s="170"/>
      <c r="I113" s="170"/>
      <c r="J113" s="170"/>
    </row>
    <row r="114" spans="1:10" ht="21">
      <c r="A114" s="239">
        <v>9</v>
      </c>
      <c r="B114" s="249" t="s">
        <v>261</v>
      </c>
      <c r="C114" s="254">
        <v>8638.89</v>
      </c>
      <c r="D114" s="254">
        <f>8047.84+8638.89</f>
        <v>16686.73</v>
      </c>
      <c r="E114" s="170"/>
      <c r="F114" s="170"/>
      <c r="G114" s="172"/>
      <c r="H114" s="170"/>
      <c r="I114" s="170"/>
      <c r="J114" s="170"/>
    </row>
    <row r="115" spans="1:10" ht="21">
      <c r="A115" s="239">
        <v>10</v>
      </c>
      <c r="B115" s="249" t="s">
        <v>174</v>
      </c>
      <c r="C115" s="254">
        <v>30277</v>
      </c>
      <c r="D115" s="254">
        <f>14962+24707+22458+39455+30277</f>
        <v>131859</v>
      </c>
      <c r="E115" s="170"/>
      <c r="F115" s="170"/>
      <c r="G115" s="172"/>
      <c r="H115" s="170"/>
      <c r="I115" s="170"/>
      <c r="J115" s="170"/>
    </row>
    <row r="116" spans="1:10" ht="21">
      <c r="A116" s="249"/>
      <c r="B116" s="251"/>
      <c r="C116" s="256">
        <f>SUM(C106:C115)</f>
        <v>396150.80000000005</v>
      </c>
      <c r="D116" s="256">
        <f>SUM(D106:D115)</f>
        <v>3428229.2600000002</v>
      </c>
      <c r="E116" s="170"/>
      <c r="F116" s="170"/>
      <c r="G116" s="173"/>
      <c r="H116" s="170"/>
      <c r="I116" s="170"/>
      <c r="J116" s="170"/>
    </row>
    <row r="117" spans="1:10" ht="21">
      <c r="A117" s="252" t="s">
        <v>34</v>
      </c>
      <c r="B117" s="251"/>
      <c r="C117" s="255"/>
      <c r="D117" s="255"/>
      <c r="E117" s="170"/>
      <c r="F117" s="170"/>
      <c r="G117" s="172"/>
      <c r="H117" s="170"/>
      <c r="I117" s="170"/>
      <c r="J117" s="170"/>
    </row>
    <row r="118" spans="1:10" ht="21">
      <c r="A118" s="239">
        <v>1</v>
      </c>
      <c r="B118" s="249" t="s">
        <v>288</v>
      </c>
      <c r="C118" s="250">
        <v>150.35</v>
      </c>
      <c r="D118" s="250">
        <v>150.35</v>
      </c>
      <c r="E118" s="170"/>
      <c r="F118" s="170"/>
      <c r="G118" s="172"/>
      <c r="H118" s="170"/>
      <c r="I118" s="170"/>
      <c r="J118" s="170"/>
    </row>
    <row r="119" spans="1:10" ht="21">
      <c r="A119" s="239">
        <v>2</v>
      </c>
      <c r="B119" s="249" t="s">
        <v>193</v>
      </c>
      <c r="C119" s="250"/>
      <c r="D119" s="250">
        <f>225+1200</f>
        <v>1425</v>
      </c>
      <c r="E119" s="170"/>
      <c r="F119" s="170"/>
      <c r="G119" s="172"/>
      <c r="H119" s="170"/>
      <c r="I119" s="170"/>
      <c r="J119" s="170"/>
    </row>
    <row r="120" spans="1:10" ht="21">
      <c r="A120" s="239">
        <v>3</v>
      </c>
      <c r="B120" s="249" t="s">
        <v>194</v>
      </c>
      <c r="C120" s="250">
        <v>14190</v>
      </c>
      <c r="D120" s="250">
        <f>7980+6080+2660+2280+14190</f>
        <v>33190</v>
      </c>
      <c r="E120" s="170"/>
      <c r="F120" s="170"/>
      <c r="G120" s="173"/>
      <c r="H120" s="170"/>
      <c r="I120" s="170"/>
      <c r="J120" s="170"/>
    </row>
    <row r="121" spans="1:10" ht="21">
      <c r="A121" s="239">
        <v>4</v>
      </c>
      <c r="B121" s="249" t="s">
        <v>195</v>
      </c>
      <c r="C121" s="254">
        <v>1440</v>
      </c>
      <c r="D121" s="254">
        <f>1005+1070+1065+1390+1440</f>
        <v>5970</v>
      </c>
      <c r="E121" s="170"/>
      <c r="F121" s="170"/>
      <c r="G121" s="173"/>
      <c r="H121" s="170"/>
      <c r="I121" s="170"/>
      <c r="J121" s="170"/>
    </row>
    <row r="122" spans="1:10" ht="21">
      <c r="A122" s="249"/>
      <c r="B122" s="251"/>
      <c r="C122" s="256">
        <f>SUM(C118:C121)</f>
        <v>15780.35</v>
      </c>
      <c r="D122" s="256">
        <f>SUM(D118:D121)</f>
        <v>40735.35</v>
      </c>
      <c r="E122" s="170"/>
      <c r="F122" s="170"/>
      <c r="G122" s="173"/>
      <c r="H122" s="170"/>
      <c r="I122" s="170"/>
      <c r="J122" s="170"/>
    </row>
    <row r="123" spans="1:10" ht="21">
      <c r="A123" s="252" t="s">
        <v>35</v>
      </c>
      <c r="B123" s="251"/>
      <c r="C123" s="255"/>
      <c r="D123" s="255"/>
      <c r="E123" s="170"/>
      <c r="F123" s="170"/>
      <c r="G123" s="173"/>
      <c r="H123" s="170"/>
      <c r="I123" s="170"/>
      <c r="J123" s="170"/>
    </row>
    <row r="124" spans="1:10" ht="21">
      <c r="A124" s="249"/>
      <c r="B124" s="251"/>
      <c r="C124" s="257"/>
      <c r="D124" s="257"/>
      <c r="E124" s="170"/>
      <c r="F124" s="170"/>
      <c r="G124" s="173"/>
      <c r="H124" s="170"/>
      <c r="I124" s="170"/>
      <c r="J124" s="170"/>
    </row>
    <row r="125" spans="1:10" ht="21">
      <c r="A125" s="249"/>
      <c r="B125" s="251"/>
      <c r="C125" s="256">
        <f>SUM(C124)</f>
        <v>0</v>
      </c>
      <c r="D125" s="256">
        <f>SUM(D124)</f>
        <v>0</v>
      </c>
      <c r="E125" s="170"/>
      <c r="F125" s="170"/>
      <c r="G125" s="173"/>
      <c r="H125" s="170"/>
      <c r="I125" s="170"/>
      <c r="J125" s="170"/>
    </row>
    <row r="126" spans="1:10" ht="21">
      <c r="A126" s="252" t="s">
        <v>36</v>
      </c>
      <c r="B126" s="251"/>
      <c r="C126" s="255"/>
      <c r="D126" s="255"/>
      <c r="E126" s="170"/>
      <c r="F126" s="170"/>
      <c r="G126" s="173"/>
      <c r="H126" s="170"/>
      <c r="I126" s="170"/>
      <c r="J126" s="170"/>
    </row>
    <row r="127" spans="1:10" ht="21">
      <c r="A127" s="239">
        <v>1</v>
      </c>
      <c r="B127" s="249" t="s">
        <v>196</v>
      </c>
      <c r="C127" s="257">
        <v>13605</v>
      </c>
      <c r="D127" s="257">
        <f>9756+7672+10176+11472+13605</f>
        <v>52681</v>
      </c>
      <c r="E127" s="170"/>
      <c r="F127" s="170"/>
      <c r="G127" s="173"/>
      <c r="H127" s="170"/>
      <c r="I127" s="170"/>
      <c r="J127" s="170"/>
    </row>
    <row r="128" spans="1:10" ht="21">
      <c r="A128" s="239"/>
      <c r="B128" s="249"/>
      <c r="C128" s="256">
        <f>SUM(C127)</f>
        <v>13605</v>
      </c>
      <c r="D128" s="256">
        <f>SUM(D127)</f>
        <v>52681</v>
      </c>
      <c r="E128" s="170"/>
      <c r="F128" s="170"/>
      <c r="G128" s="173"/>
      <c r="H128" s="170"/>
      <c r="I128" s="170"/>
      <c r="J128" s="170"/>
    </row>
    <row r="129" spans="1:10" ht="21">
      <c r="A129" s="252" t="s">
        <v>37</v>
      </c>
      <c r="B129" s="251"/>
      <c r="C129" s="255"/>
      <c r="D129" s="255"/>
      <c r="E129" s="170"/>
      <c r="F129" s="170"/>
      <c r="G129" s="173"/>
      <c r="H129" s="170"/>
      <c r="I129" s="170"/>
      <c r="J129" s="170"/>
    </row>
    <row r="130" spans="1:10" ht="21">
      <c r="A130" s="239">
        <v>1</v>
      </c>
      <c r="B130" s="249" t="s">
        <v>289</v>
      </c>
      <c r="C130" s="257">
        <v>11700</v>
      </c>
      <c r="D130" s="257">
        <v>11700</v>
      </c>
      <c r="E130" s="170"/>
      <c r="F130" s="170"/>
      <c r="G130" s="173"/>
      <c r="H130" s="170"/>
      <c r="I130" s="170"/>
      <c r="J130" s="170"/>
    </row>
    <row r="131" spans="1:10" ht="21">
      <c r="A131" s="239">
        <v>2</v>
      </c>
      <c r="B131" s="249" t="s">
        <v>37</v>
      </c>
      <c r="C131" s="257">
        <v>0</v>
      </c>
      <c r="D131" s="257">
        <v>400</v>
      </c>
      <c r="E131" s="170"/>
      <c r="F131" s="170"/>
      <c r="G131" s="173"/>
      <c r="H131" s="170"/>
      <c r="I131" s="170"/>
      <c r="J131" s="170"/>
    </row>
    <row r="132" spans="1:10" ht="21">
      <c r="A132" s="249"/>
      <c r="B132" s="251"/>
      <c r="C132" s="256">
        <f>SUM(C130)</f>
        <v>11700</v>
      </c>
      <c r="D132" s="256">
        <f>SUM(D130:D131)</f>
        <v>12100</v>
      </c>
      <c r="E132" s="170"/>
      <c r="F132" s="170"/>
      <c r="G132" s="173"/>
      <c r="H132" s="170"/>
      <c r="I132" s="170"/>
      <c r="J132" s="170"/>
    </row>
    <row r="133" spans="1:10" ht="21">
      <c r="A133" s="354"/>
      <c r="B133" s="352"/>
      <c r="C133" s="349"/>
      <c r="D133" s="349"/>
      <c r="E133" s="170"/>
      <c r="F133" s="170"/>
      <c r="G133" s="173"/>
      <c r="H133" s="170"/>
      <c r="I133" s="170"/>
      <c r="J133" s="170"/>
    </row>
    <row r="134" spans="1:10" ht="21">
      <c r="A134" s="333"/>
      <c r="B134" s="353"/>
      <c r="C134" s="350"/>
      <c r="D134" s="350"/>
      <c r="E134" s="170"/>
      <c r="F134" s="170"/>
      <c r="G134" s="173"/>
      <c r="H134" s="170"/>
      <c r="I134" s="170"/>
      <c r="J134" s="170"/>
    </row>
    <row r="135" spans="1:10" ht="21">
      <c r="A135" s="351"/>
      <c r="B135" s="353"/>
      <c r="C135" s="350"/>
      <c r="D135" s="350"/>
      <c r="E135" s="170"/>
      <c r="F135" s="170"/>
      <c r="G135" s="173"/>
      <c r="H135" s="170"/>
      <c r="I135" s="170"/>
      <c r="J135" s="170"/>
    </row>
    <row r="136" spans="1:10" ht="21">
      <c r="A136" s="238" t="s">
        <v>162</v>
      </c>
      <c r="B136" s="238" t="s">
        <v>28</v>
      </c>
      <c r="C136" s="238" t="s">
        <v>25</v>
      </c>
      <c r="D136" s="238" t="s">
        <v>170</v>
      </c>
      <c r="E136" s="170"/>
      <c r="F136" s="170"/>
      <c r="G136" s="170"/>
      <c r="H136" s="170"/>
      <c r="I136" s="170"/>
      <c r="J136" s="170"/>
    </row>
    <row r="137" spans="1:10" ht="21">
      <c r="A137" s="252" t="s">
        <v>146</v>
      </c>
      <c r="B137" s="251"/>
      <c r="C137" s="258"/>
      <c r="D137" s="258"/>
      <c r="E137" s="170"/>
      <c r="F137" s="170"/>
      <c r="G137" s="172"/>
      <c r="H137" s="170"/>
      <c r="I137" s="170"/>
      <c r="J137" s="170"/>
    </row>
    <row r="138" spans="1:10" ht="21">
      <c r="A138" s="239">
        <v>1</v>
      </c>
      <c r="B138" s="249" t="s">
        <v>262</v>
      </c>
      <c r="C138" s="254">
        <v>3969516</v>
      </c>
      <c r="D138" s="254">
        <f>2004326+3969516</f>
        <v>5973842</v>
      </c>
      <c r="E138" s="170"/>
      <c r="F138" s="170"/>
      <c r="G138" s="173"/>
      <c r="H138" s="170"/>
      <c r="I138" s="170"/>
      <c r="J138" s="170"/>
    </row>
    <row r="139" spans="1:10" ht="21">
      <c r="A139" s="239"/>
      <c r="B139" s="249"/>
      <c r="C139" s="355">
        <f>SUM(C138)</f>
        <v>3969516</v>
      </c>
      <c r="D139" s="355">
        <f>SUM(D138)</f>
        <v>5973842</v>
      </c>
      <c r="E139" s="170"/>
      <c r="F139" s="170"/>
      <c r="G139" s="173"/>
      <c r="H139" s="170"/>
      <c r="I139" s="170"/>
      <c r="J139" s="170"/>
    </row>
    <row r="140" spans="1:10" ht="21">
      <c r="A140" s="332" t="s">
        <v>211</v>
      </c>
      <c r="B140" s="258"/>
      <c r="C140" s="258"/>
      <c r="D140" s="258"/>
      <c r="E140" s="170"/>
      <c r="F140" s="170"/>
      <c r="G140" s="172"/>
      <c r="H140" s="170"/>
      <c r="I140" s="170"/>
      <c r="J140" s="170"/>
    </row>
    <row r="141" spans="1:10" ht="21">
      <c r="A141" s="239">
        <v>1</v>
      </c>
      <c r="B141" s="249" t="s">
        <v>197</v>
      </c>
      <c r="C141" s="254"/>
      <c r="D141" s="254">
        <v>1795000</v>
      </c>
      <c r="E141" s="170"/>
      <c r="F141" s="170"/>
      <c r="G141" s="173"/>
      <c r="H141" s="170"/>
      <c r="I141" s="170"/>
      <c r="J141" s="170"/>
    </row>
    <row r="142" spans="1:10" ht="21">
      <c r="A142" s="239">
        <v>2</v>
      </c>
      <c r="B142" s="249" t="s">
        <v>248</v>
      </c>
      <c r="C142" s="254"/>
      <c r="D142" s="254">
        <f>2100000</f>
        <v>2100000</v>
      </c>
      <c r="E142" s="170"/>
      <c r="F142" s="170"/>
      <c r="G142" s="173"/>
      <c r="H142" s="170"/>
      <c r="I142" s="170"/>
      <c r="J142" s="170"/>
    </row>
    <row r="143" spans="1:10" ht="21">
      <c r="A143" s="239">
        <v>3</v>
      </c>
      <c r="B143" s="249" t="s">
        <v>263</v>
      </c>
      <c r="C143" s="329">
        <v>123144</v>
      </c>
      <c r="D143" s="329">
        <f>181197+123144</f>
        <v>304341</v>
      </c>
      <c r="E143" s="170"/>
      <c r="F143" s="170"/>
      <c r="G143" s="173"/>
      <c r="H143" s="170"/>
      <c r="I143" s="170"/>
      <c r="J143" s="170"/>
    </row>
    <row r="144" spans="1:10" ht="21">
      <c r="A144" s="249"/>
      <c r="B144" s="251"/>
      <c r="C144" s="259">
        <f>SUM(C141:C143)</f>
        <v>123144</v>
      </c>
      <c r="D144" s="259">
        <f>SUM(D141:D143)</f>
        <v>4199341</v>
      </c>
      <c r="E144" s="170"/>
      <c r="F144" s="170"/>
      <c r="G144" s="173"/>
      <c r="H144" s="170"/>
      <c r="I144" s="170"/>
      <c r="J144" s="170"/>
    </row>
    <row r="145" spans="1:10" ht="21.75" thickBot="1">
      <c r="A145" s="247"/>
      <c r="B145" s="248"/>
      <c r="C145" s="253">
        <f>C116+C122+C125+C128+C132+C139+C144</f>
        <v>4529896.15</v>
      </c>
      <c r="D145" s="253">
        <f>D116+D122+D125+D128+D132+D139+D144</f>
        <v>13706928.61</v>
      </c>
      <c r="E145" s="170"/>
      <c r="F145" s="170"/>
      <c r="G145" s="173"/>
      <c r="H145" s="170"/>
      <c r="I145" s="170"/>
      <c r="J145" s="170"/>
    </row>
    <row r="146" spans="1:10" ht="21.75" thickTop="1">
      <c r="A146" s="171"/>
      <c r="B146" s="170"/>
      <c r="C146" s="170"/>
      <c r="D146" s="170"/>
      <c r="E146" s="170"/>
      <c r="F146" s="170"/>
      <c r="G146" s="173"/>
      <c r="H146" s="170"/>
      <c r="I146" s="170"/>
      <c r="J146" s="170"/>
    </row>
    <row r="147" spans="1:10" ht="23.25">
      <c r="A147" s="171"/>
      <c r="B147" s="79"/>
      <c r="C147" s="145" t="s">
        <v>101</v>
      </c>
      <c r="D147" s="79"/>
      <c r="E147" s="170"/>
      <c r="F147" s="170"/>
      <c r="G147" s="173"/>
      <c r="H147" s="170"/>
      <c r="I147" s="170"/>
      <c r="J147" s="170"/>
    </row>
    <row r="148" spans="1:10" ht="23.25">
      <c r="A148" s="171"/>
      <c r="B148" s="79"/>
      <c r="C148" s="79"/>
      <c r="D148" s="79"/>
      <c r="E148" s="170"/>
      <c r="F148" s="170"/>
      <c r="G148" s="173"/>
      <c r="H148" s="170"/>
      <c r="I148" s="170"/>
      <c r="J148" s="170"/>
    </row>
    <row r="149" spans="1:10" ht="23.25">
      <c r="A149" s="171"/>
      <c r="B149" s="79"/>
      <c r="C149" s="145"/>
      <c r="D149" s="79"/>
      <c r="E149" s="170"/>
      <c r="F149" s="170"/>
      <c r="G149" s="173"/>
      <c r="H149" s="170"/>
      <c r="I149" s="170"/>
      <c r="J149" s="170"/>
    </row>
    <row r="150" spans="1:10" ht="23.25">
      <c r="A150" s="171"/>
      <c r="B150" s="79"/>
      <c r="C150" s="145" t="s">
        <v>102</v>
      </c>
      <c r="D150" s="79"/>
      <c r="E150" s="170"/>
      <c r="F150" s="170"/>
      <c r="G150" s="173"/>
      <c r="H150" s="170"/>
      <c r="I150" s="170"/>
      <c r="J150" s="170"/>
    </row>
    <row r="151" spans="1:10" ht="23.25">
      <c r="A151" s="171"/>
      <c r="B151" s="170"/>
      <c r="C151" s="145" t="s">
        <v>100</v>
      </c>
      <c r="D151" s="170"/>
      <c r="E151" s="170"/>
      <c r="F151" s="170"/>
      <c r="G151" s="172"/>
      <c r="H151" s="170"/>
      <c r="I151" s="170"/>
      <c r="J151" s="170"/>
    </row>
    <row r="152" ht="21">
      <c r="F152" s="101"/>
    </row>
    <row r="154" ht="21">
      <c r="F154" s="101"/>
    </row>
    <row r="155" ht="21">
      <c r="F155" s="101"/>
    </row>
    <row r="156" ht="21">
      <c r="F156" s="101"/>
    </row>
    <row r="157" ht="21">
      <c r="F157" s="101"/>
    </row>
    <row r="158" ht="21">
      <c r="F158" s="101"/>
    </row>
    <row r="159" ht="21">
      <c r="F159" s="101"/>
    </row>
    <row r="160" ht="21">
      <c r="F160" s="101"/>
    </row>
    <row r="161" ht="21">
      <c r="F161" s="101"/>
    </row>
    <row r="162" ht="21">
      <c r="F162" s="101"/>
    </row>
    <row r="163" ht="21">
      <c r="F163" s="101"/>
    </row>
    <row r="164" ht="21">
      <c r="F164" s="101"/>
    </row>
    <row r="165" ht="21">
      <c r="F165" s="101"/>
    </row>
    <row r="166" ht="21">
      <c r="F166" s="101"/>
    </row>
    <row r="167" ht="21">
      <c r="F167" s="101"/>
    </row>
  </sheetData>
  <mergeCells count="16">
    <mergeCell ref="A68:E68"/>
    <mergeCell ref="A69:E69"/>
    <mergeCell ref="A70:E70"/>
    <mergeCell ref="A71:E71"/>
    <mergeCell ref="A34:E34"/>
    <mergeCell ref="A35:E35"/>
    <mergeCell ref="A36:E36"/>
    <mergeCell ref="A37:E37"/>
    <mergeCell ref="A1:E1"/>
    <mergeCell ref="A2:E2"/>
    <mergeCell ref="A3:E3"/>
    <mergeCell ref="A4:E4"/>
    <mergeCell ref="A100:E100"/>
    <mergeCell ref="A101:E101"/>
    <mergeCell ref="A102:E102"/>
    <mergeCell ref="A103:E10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workbookViewId="0" topLeftCell="I127">
      <selection activeCell="P144" sqref="P144"/>
    </sheetView>
  </sheetViews>
  <sheetFormatPr defaultColWidth="9.140625" defaultRowHeight="21.75"/>
  <cols>
    <col min="1" max="1" width="16.140625" style="73" bestFit="1" customWidth="1"/>
    <col min="2" max="3" width="11.140625" style="73" bestFit="1" customWidth="1"/>
    <col min="4" max="4" width="13.57421875" style="73" customWidth="1"/>
    <col min="5" max="5" width="8.140625" style="73" bestFit="1" customWidth="1"/>
    <col min="6" max="6" width="11.140625" style="73" customWidth="1"/>
    <col min="7" max="7" width="9.8515625" style="73" bestFit="1" customWidth="1"/>
    <col min="8" max="10" width="11.140625" style="73" bestFit="1" customWidth="1"/>
    <col min="11" max="15" width="9.8515625" style="73" bestFit="1" customWidth="1"/>
    <col min="16" max="16" width="11.140625" style="73" bestFit="1" customWidth="1"/>
    <col min="17" max="17" width="12.00390625" style="73" bestFit="1" customWidth="1"/>
    <col min="18" max="18" width="9.140625" style="73" customWidth="1"/>
    <col min="19" max="19" width="12.00390625" style="73" bestFit="1" customWidth="1"/>
    <col min="20" max="16384" width="9.140625" style="73" customWidth="1"/>
  </cols>
  <sheetData>
    <row r="1" spans="1:17" ht="23.25">
      <c r="A1" s="419" t="s">
        <v>14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23.25">
      <c r="A2" s="419" t="s">
        <v>15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ht="24" thickBot="1">
      <c r="A3" s="420" t="s">
        <v>301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</row>
    <row r="4" spans="1:17" s="64" customFormat="1" ht="18.75">
      <c r="A4" s="59" t="s">
        <v>16</v>
      </c>
      <c r="B4" s="416" t="s">
        <v>82</v>
      </c>
      <c r="C4" s="417"/>
      <c r="D4" s="416" t="s">
        <v>85</v>
      </c>
      <c r="E4" s="417"/>
      <c r="F4" s="60" t="s">
        <v>91</v>
      </c>
      <c r="G4" s="60" t="s">
        <v>92</v>
      </c>
      <c r="H4" s="61" t="s">
        <v>95</v>
      </c>
      <c r="I4" s="416" t="s">
        <v>86</v>
      </c>
      <c r="J4" s="417"/>
      <c r="K4" s="62" t="s">
        <v>96</v>
      </c>
      <c r="L4" s="416" t="s">
        <v>87</v>
      </c>
      <c r="M4" s="418"/>
      <c r="N4" s="62" t="s">
        <v>99</v>
      </c>
      <c r="O4" s="62" t="s">
        <v>115</v>
      </c>
      <c r="P4" s="60" t="s">
        <v>80</v>
      </c>
      <c r="Q4" s="63" t="s">
        <v>17</v>
      </c>
    </row>
    <row r="5" spans="1:17" s="64" customFormat="1" ht="19.5" thickBot="1">
      <c r="A5" s="65" t="s">
        <v>18</v>
      </c>
      <c r="B5" s="67" t="s">
        <v>83</v>
      </c>
      <c r="C5" s="68" t="s">
        <v>84</v>
      </c>
      <c r="D5" s="66" t="s">
        <v>76</v>
      </c>
      <c r="E5" s="66" t="s">
        <v>77</v>
      </c>
      <c r="F5" s="67" t="s">
        <v>90</v>
      </c>
      <c r="G5" s="67" t="s">
        <v>93</v>
      </c>
      <c r="H5" s="70" t="s">
        <v>94</v>
      </c>
      <c r="I5" s="66" t="s">
        <v>78</v>
      </c>
      <c r="J5" s="66" t="s">
        <v>79</v>
      </c>
      <c r="K5" s="71" t="s">
        <v>97</v>
      </c>
      <c r="L5" s="68" t="s">
        <v>142</v>
      </c>
      <c r="M5" s="69" t="s">
        <v>88</v>
      </c>
      <c r="N5" s="71" t="s">
        <v>98</v>
      </c>
      <c r="O5" s="71" t="s">
        <v>116</v>
      </c>
      <c r="P5" s="66" t="s">
        <v>81</v>
      </c>
      <c r="Q5" s="72"/>
    </row>
    <row r="6" spans="1:17" s="197" customFormat="1" ht="21" customHeight="1">
      <c r="A6" s="192" t="s">
        <v>240</v>
      </c>
      <c r="B6" s="335"/>
      <c r="C6" s="194"/>
      <c r="D6" s="193"/>
      <c r="E6" s="193"/>
      <c r="F6" s="194"/>
      <c r="G6" s="194"/>
      <c r="H6" s="195"/>
      <c r="I6" s="193"/>
      <c r="J6" s="193"/>
      <c r="K6" s="196"/>
      <c r="L6" s="193"/>
      <c r="M6" s="195"/>
      <c r="N6" s="196"/>
      <c r="O6" s="196"/>
      <c r="P6" s="193"/>
      <c r="Q6" s="196"/>
    </row>
    <row r="7" spans="1:17" s="197" customFormat="1" ht="21" customHeight="1">
      <c r="A7" s="198" t="s">
        <v>153</v>
      </c>
      <c r="B7" s="200">
        <v>0</v>
      </c>
      <c r="C7" s="201">
        <v>0</v>
      </c>
      <c r="D7" s="200">
        <v>0</v>
      </c>
      <c r="E7" s="200">
        <v>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0">
        <v>0</v>
      </c>
      <c r="P7" s="199">
        <v>12678</v>
      </c>
      <c r="Q7" s="200">
        <f>SUM(B7:P7)</f>
        <v>12678</v>
      </c>
    </row>
    <row r="8" spans="1:17" s="197" customFormat="1" ht="21" customHeight="1">
      <c r="A8" s="198" t="s">
        <v>234</v>
      </c>
      <c r="B8" s="200">
        <v>0</v>
      </c>
      <c r="C8" s="201">
        <v>0</v>
      </c>
      <c r="D8" s="200">
        <v>0</v>
      </c>
      <c r="E8" s="200">
        <v>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199">
        <v>58500</v>
      </c>
      <c r="Q8" s="200">
        <f aca="true" t="shared" si="0" ref="Q8:Q14">SUM(B8:P8)</f>
        <v>58500</v>
      </c>
    </row>
    <row r="9" spans="1:17" s="197" customFormat="1" ht="21" customHeight="1">
      <c r="A9" s="198" t="s">
        <v>235</v>
      </c>
      <c r="B9" s="200">
        <v>0</v>
      </c>
      <c r="C9" s="201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199">
        <v>13500</v>
      </c>
      <c r="Q9" s="200">
        <f t="shared" si="0"/>
        <v>13500</v>
      </c>
    </row>
    <row r="10" spans="1:17" s="197" customFormat="1" ht="21" customHeight="1">
      <c r="A10" s="198" t="s">
        <v>236</v>
      </c>
      <c r="B10" s="200">
        <v>0</v>
      </c>
      <c r="C10" s="201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199">
        <v>0</v>
      </c>
      <c r="Q10" s="200">
        <f t="shared" si="0"/>
        <v>0</v>
      </c>
    </row>
    <row r="11" spans="1:17" s="197" customFormat="1" ht="21" customHeight="1">
      <c r="A11" s="198" t="s">
        <v>237</v>
      </c>
      <c r="B11" s="200">
        <v>0</v>
      </c>
      <c r="C11" s="201">
        <v>0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199">
        <v>0</v>
      </c>
      <c r="Q11" s="200">
        <f t="shared" si="0"/>
        <v>0</v>
      </c>
    </row>
    <row r="12" spans="1:17" s="197" customFormat="1" ht="21" customHeight="1">
      <c r="A12" s="198" t="s">
        <v>238</v>
      </c>
      <c r="B12" s="200">
        <v>0</v>
      </c>
      <c r="C12" s="201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199">
        <v>53500</v>
      </c>
      <c r="Q12" s="200">
        <f t="shared" si="0"/>
        <v>53500</v>
      </c>
    </row>
    <row r="13" spans="1:17" s="197" customFormat="1" ht="21" customHeight="1">
      <c r="A13" s="198" t="s">
        <v>239</v>
      </c>
      <c r="B13" s="200">
        <v>0</v>
      </c>
      <c r="C13" s="201">
        <v>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199">
        <v>0</v>
      </c>
      <c r="Q13" s="200">
        <f t="shared" si="0"/>
        <v>0</v>
      </c>
    </row>
    <row r="14" spans="1:17" ht="18.75">
      <c r="A14" s="74" t="s">
        <v>19</v>
      </c>
      <c r="B14" s="75">
        <f aca="true" t="shared" si="1" ref="B14:O14">SUM(B7:B13)</f>
        <v>0</v>
      </c>
      <c r="C14" s="75">
        <f t="shared" si="1"/>
        <v>0</v>
      </c>
      <c r="D14" s="75">
        <f t="shared" si="1"/>
        <v>0</v>
      </c>
      <c r="E14" s="75">
        <f t="shared" si="1"/>
        <v>0</v>
      </c>
      <c r="F14" s="75">
        <f t="shared" si="1"/>
        <v>0</v>
      </c>
      <c r="G14" s="75">
        <f t="shared" si="1"/>
        <v>0</v>
      </c>
      <c r="H14" s="75">
        <f t="shared" si="1"/>
        <v>0</v>
      </c>
      <c r="I14" s="75">
        <f t="shared" si="1"/>
        <v>0</v>
      </c>
      <c r="J14" s="75">
        <f t="shared" si="1"/>
        <v>0</v>
      </c>
      <c r="K14" s="75">
        <f t="shared" si="1"/>
        <v>0</v>
      </c>
      <c r="L14" s="75">
        <f t="shared" si="1"/>
        <v>0</v>
      </c>
      <c r="M14" s="75">
        <f t="shared" si="1"/>
        <v>0</v>
      </c>
      <c r="N14" s="75">
        <f t="shared" si="1"/>
        <v>0</v>
      </c>
      <c r="O14" s="75">
        <f t="shared" si="1"/>
        <v>0</v>
      </c>
      <c r="P14" s="75">
        <f>SUM(P7:P13)</f>
        <v>138178</v>
      </c>
      <c r="Q14" s="200">
        <f t="shared" si="0"/>
        <v>138178</v>
      </c>
    </row>
    <row r="15" spans="1:17" s="85" customFormat="1" ht="18.75">
      <c r="A15" s="80" t="s">
        <v>20</v>
      </c>
      <c r="B15" s="83">
        <f>0</f>
        <v>0</v>
      </c>
      <c r="C15" s="83">
        <f>0</f>
        <v>0</v>
      </c>
      <c r="D15" s="83">
        <f>0</f>
        <v>0</v>
      </c>
      <c r="E15" s="83">
        <f>0</f>
        <v>0</v>
      </c>
      <c r="F15" s="83">
        <f>0</f>
        <v>0</v>
      </c>
      <c r="G15" s="83">
        <f>0</f>
        <v>0</v>
      </c>
      <c r="H15" s="83">
        <f>0</f>
        <v>0</v>
      </c>
      <c r="I15" s="83">
        <f>0</f>
        <v>0</v>
      </c>
      <c r="J15" s="83">
        <f>0</f>
        <v>0</v>
      </c>
      <c r="K15" s="83">
        <f>0</f>
        <v>0</v>
      </c>
      <c r="L15" s="83">
        <f>0</f>
        <v>0</v>
      </c>
      <c r="M15" s="83">
        <f>0</f>
        <v>0</v>
      </c>
      <c r="N15" s="83">
        <f>0</f>
        <v>0</v>
      </c>
      <c r="O15" s="83">
        <f>0</f>
        <v>0</v>
      </c>
      <c r="P15" s="83">
        <f>88081+151588.79+518013+138178</f>
        <v>895860.79</v>
      </c>
      <c r="Q15" s="84">
        <f>SUM(B15:P15)</f>
        <v>895860.79</v>
      </c>
    </row>
    <row r="16" spans="1:17" s="197" customFormat="1" ht="21" customHeight="1">
      <c r="A16" s="205">
        <v>521000</v>
      </c>
      <c r="B16" s="206"/>
      <c r="C16" s="207"/>
      <c r="D16" s="206"/>
      <c r="E16" s="206"/>
      <c r="F16" s="207"/>
      <c r="G16" s="207"/>
      <c r="H16" s="206"/>
      <c r="I16" s="206"/>
      <c r="J16" s="206"/>
      <c r="K16" s="200"/>
      <c r="L16" s="206"/>
      <c r="M16" s="206"/>
      <c r="N16" s="200"/>
      <c r="O16" s="200"/>
      <c r="P16" s="203"/>
      <c r="Q16" s="200"/>
    </row>
    <row r="17" spans="1:17" s="197" customFormat="1" ht="21" customHeight="1">
      <c r="A17" s="208">
        <v>210100</v>
      </c>
      <c r="B17" s="199">
        <v>17200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200">
        <f>SUM(B17:P17)</f>
        <v>17200</v>
      </c>
    </row>
    <row r="18" spans="1:17" s="197" customFormat="1" ht="21" customHeight="1">
      <c r="A18" s="208">
        <v>210200</v>
      </c>
      <c r="B18" s="199">
        <v>3200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200">
        <f aca="true" t="shared" si="2" ref="Q18:Q23">SUM(B18:P18)</f>
        <v>3200</v>
      </c>
    </row>
    <row r="19" spans="1:17" s="197" customFormat="1" ht="21" customHeight="1">
      <c r="A19" s="208">
        <v>210300</v>
      </c>
      <c r="B19" s="199">
        <v>3200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200">
        <f t="shared" si="2"/>
        <v>3200</v>
      </c>
    </row>
    <row r="20" spans="1:17" s="197" customFormat="1" ht="21" customHeight="1">
      <c r="A20" s="208">
        <v>210400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200">
        <f t="shared" si="2"/>
        <v>0</v>
      </c>
    </row>
    <row r="21" spans="1:17" s="197" customFormat="1" ht="21" customHeight="1">
      <c r="A21" s="208">
        <v>210600</v>
      </c>
      <c r="B21" s="199">
        <v>83750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200">
        <f t="shared" si="2"/>
        <v>83750</v>
      </c>
    </row>
    <row r="22" spans="1:17" ht="18.75">
      <c r="A22" s="74" t="s">
        <v>19</v>
      </c>
      <c r="B22" s="75">
        <f aca="true" t="shared" si="3" ref="B22:O22">SUM(B17:B21)</f>
        <v>107350</v>
      </c>
      <c r="C22" s="75">
        <f t="shared" si="3"/>
        <v>0</v>
      </c>
      <c r="D22" s="75">
        <f t="shared" si="3"/>
        <v>0</v>
      </c>
      <c r="E22" s="75">
        <f t="shared" si="3"/>
        <v>0</v>
      </c>
      <c r="F22" s="75">
        <f t="shared" si="3"/>
        <v>0</v>
      </c>
      <c r="G22" s="75">
        <f t="shared" si="3"/>
        <v>0</v>
      </c>
      <c r="H22" s="75">
        <f t="shared" si="3"/>
        <v>0</v>
      </c>
      <c r="I22" s="75">
        <f t="shared" si="3"/>
        <v>0</v>
      </c>
      <c r="J22" s="75">
        <f t="shared" si="3"/>
        <v>0</v>
      </c>
      <c r="K22" s="75">
        <f t="shared" si="3"/>
        <v>0</v>
      </c>
      <c r="L22" s="75">
        <f t="shared" si="3"/>
        <v>0</v>
      </c>
      <c r="M22" s="75">
        <f t="shared" si="3"/>
        <v>0</v>
      </c>
      <c r="N22" s="75">
        <f t="shared" si="3"/>
        <v>0</v>
      </c>
      <c r="O22" s="75">
        <f t="shared" si="3"/>
        <v>0</v>
      </c>
      <c r="P22" s="75">
        <f>SUM(P17:P21)</f>
        <v>0</v>
      </c>
      <c r="Q22" s="200">
        <f t="shared" si="2"/>
        <v>107350</v>
      </c>
    </row>
    <row r="23" spans="1:17" s="85" customFormat="1" ht="18.75">
      <c r="A23" s="80" t="s">
        <v>20</v>
      </c>
      <c r="B23" s="83">
        <f>112250+112250+112250+107350+107350</f>
        <v>551450</v>
      </c>
      <c r="C23" s="83">
        <v>0</v>
      </c>
      <c r="D23" s="83">
        <f>0</f>
        <v>0</v>
      </c>
      <c r="E23" s="83">
        <f>0</f>
        <v>0</v>
      </c>
      <c r="F23" s="83">
        <f>0</f>
        <v>0</v>
      </c>
      <c r="G23" s="83">
        <f>0</f>
        <v>0</v>
      </c>
      <c r="H23" s="83">
        <f>0</f>
        <v>0</v>
      </c>
      <c r="I23" s="83">
        <v>0</v>
      </c>
      <c r="J23" s="83">
        <f>0</f>
        <v>0</v>
      </c>
      <c r="K23" s="83">
        <f>0</f>
        <v>0</v>
      </c>
      <c r="L23" s="83">
        <f>0</f>
        <v>0</v>
      </c>
      <c r="M23" s="83">
        <f>0</f>
        <v>0</v>
      </c>
      <c r="N23" s="83">
        <f>0</f>
        <v>0</v>
      </c>
      <c r="O23" s="83">
        <f>0</f>
        <v>0</v>
      </c>
      <c r="P23" s="83">
        <f>0</f>
        <v>0</v>
      </c>
      <c r="Q23" s="331">
        <f t="shared" si="2"/>
        <v>551450</v>
      </c>
    </row>
    <row r="24" spans="1:17" s="197" customFormat="1" ht="21" customHeight="1">
      <c r="A24" s="205">
        <v>522000</v>
      </c>
      <c r="B24" s="206"/>
      <c r="C24" s="207"/>
      <c r="D24" s="206"/>
      <c r="E24" s="206"/>
      <c r="F24" s="207"/>
      <c r="G24" s="207"/>
      <c r="H24" s="206"/>
      <c r="I24" s="206"/>
      <c r="J24" s="206"/>
      <c r="K24" s="200"/>
      <c r="L24" s="206"/>
      <c r="M24" s="206"/>
      <c r="N24" s="200"/>
      <c r="O24" s="200"/>
      <c r="P24" s="203"/>
      <c r="Q24" s="200"/>
    </row>
    <row r="25" spans="1:17" s="197" customFormat="1" ht="21" customHeight="1">
      <c r="A25" s="208">
        <v>220100</v>
      </c>
      <c r="B25" s="199">
        <v>76330</v>
      </c>
      <c r="C25" s="199">
        <v>34180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32350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200">
        <f aca="true" t="shared" si="4" ref="Q25:Q30">SUM(B25:P25)</f>
        <v>142860</v>
      </c>
    </row>
    <row r="26" spans="1:17" s="197" customFormat="1" ht="21" customHeight="1">
      <c r="A26" s="208">
        <v>220200</v>
      </c>
      <c r="B26" s="199">
        <v>6070</v>
      </c>
      <c r="C26" s="199">
        <v>3000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3000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200">
        <f t="shared" si="4"/>
        <v>12070</v>
      </c>
    </row>
    <row r="27" spans="1:17" s="197" customFormat="1" ht="21" customHeight="1">
      <c r="A27" s="208">
        <v>220300</v>
      </c>
      <c r="B27" s="199">
        <v>3500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200">
        <f t="shared" si="4"/>
        <v>3500</v>
      </c>
    </row>
    <row r="28" spans="1:17" s="197" customFormat="1" ht="21" customHeight="1">
      <c r="A28" s="208">
        <v>220600</v>
      </c>
      <c r="B28" s="199">
        <f>19650+13160</f>
        <v>32810</v>
      </c>
      <c r="C28" s="199">
        <f>19440+300</f>
        <v>19740</v>
      </c>
      <c r="D28" s="199">
        <v>0</v>
      </c>
      <c r="E28" s="199">
        <v>0</v>
      </c>
      <c r="F28" s="199">
        <f>16420+440</f>
        <v>16860</v>
      </c>
      <c r="G28" s="199">
        <v>0</v>
      </c>
      <c r="H28" s="199">
        <v>0</v>
      </c>
      <c r="I28" s="199">
        <f>8200+19740</f>
        <v>27940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200">
        <f t="shared" si="4"/>
        <v>97350</v>
      </c>
    </row>
    <row r="29" spans="1:17" ht="18.75">
      <c r="A29" s="74" t="s">
        <v>19</v>
      </c>
      <c r="B29" s="75">
        <f aca="true" t="shared" si="5" ref="B29:O29">SUM(B25:B28)</f>
        <v>118710</v>
      </c>
      <c r="C29" s="75">
        <f t="shared" si="5"/>
        <v>56920</v>
      </c>
      <c r="D29" s="75">
        <f t="shared" si="5"/>
        <v>0</v>
      </c>
      <c r="E29" s="75">
        <f t="shared" si="5"/>
        <v>0</v>
      </c>
      <c r="F29" s="75">
        <f t="shared" si="5"/>
        <v>16860</v>
      </c>
      <c r="G29" s="75">
        <f t="shared" si="5"/>
        <v>0</v>
      </c>
      <c r="H29" s="75">
        <f t="shared" si="5"/>
        <v>0</v>
      </c>
      <c r="I29" s="75">
        <f t="shared" si="5"/>
        <v>63290</v>
      </c>
      <c r="J29" s="75">
        <f t="shared" si="5"/>
        <v>0</v>
      </c>
      <c r="K29" s="75">
        <f t="shared" si="5"/>
        <v>0</v>
      </c>
      <c r="L29" s="75">
        <f t="shared" si="5"/>
        <v>0</v>
      </c>
      <c r="M29" s="75">
        <f t="shared" si="5"/>
        <v>0</v>
      </c>
      <c r="N29" s="75">
        <f t="shared" si="5"/>
        <v>0</v>
      </c>
      <c r="O29" s="75">
        <f t="shared" si="5"/>
        <v>0</v>
      </c>
      <c r="P29" s="75">
        <f>SUM(P25:P28)</f>
        <v>0</v>
      </c>
      <c r="Q29" s="200">
        <f t="shared" si="4"/>
        <v>255780</v>
      </c>
    </row>
    <row r="30" spans="1:17" s="85" customFormat="1" ht="18.75">
      <c r="A30" s="80" t="s">
        <v>20</v>
      </c>
      <c r="B30" s="83">
        <f>123110+112496+118710+118710+118710</f>
        <v>591736</v>
      </c>
      <c r="C30" s="83">
        <f>56920+56920+56920+56920+56920</f>
        <v>284600</v>
      </c>
      <c r="D30" s="83">
        <f>0</f>
        <v>0</v>
      </c>
      <c r="E30" s="83">
        <f>0</f>
        <v>0</v>
      </c>
      <c r="F30" s="83">
        <f>16420+16420+17740+16420+16860</f>
        <v>83860</v>
      </c>
      <c r="G30" s="83">
        <f>0</f>
        <v>0</v>
      </c>
      <c r="H30" s="83">
        <f>0</f>
        <v>0</v>
      </c>
      <c r="I30" s="83">
        <f>43550+43550+63290+63290+63290</f>
        <v>276970</v>
      </c>
      <c r="J30" s="83">
        <f>0</f>
        <v>0</v>
      </c>
      <c r="K30" s="83">
        <f>0</f>
        <v>0</v>
      </c>
      <c r="L30" s="83">
        <f>0</f>
        <v>0</v>
      </c>
      <c r="M30" s="83">
        <f>0</f>
        <v>0</v>
      </c>
      <c r="N30" s="83">
        <f>0</f>
        <v>0</v>
      </c>
      <c r="O30" s="83">
        <f>0</f>
        <v>0</v>
      </c>
      <c r="P30" s="83">
        <f>0</f>
        <v>0</v>
      </c>
      <c r="Q30" s="331">
        <f t="shared" si="4"/>
        <v>1237166</v>
      </c>
    </row>
    <row r="31" spans="1:17" s="85" customFormat="1" ht="21.75" customHeight="1">
      <c r="A31" s="81"/>
      <c r="B31" s="86"/>
      <c r="C31" s="414" t="s">
        <v>7</v>
      </c>
      <c r="D31" s="414"/>
      <c r="E31" s="414"/>
      <c r="F31" s="93"/>
      <c r="G31" s="93"/>
      <c r="H31" s="93"/>
      <c r="I31" s="414" t="s">
        <v>101</v>
      </c>
      <c r="J31" s="414"/>
      <c r="K31" s="414"/>
      <c r="L31" s="86"/>
      <c r="M31" s="86"/>
      <c r="N31" s="86"/>
      <c r="O31" s="86"/>
      <c r="P31" s="86"/>
      <c r="Q31" s="87"/>
    </row>
    <row r="32" spans="1:17" s="85" customFormat="1" ht="21.75" customHeight="1">
      <c r="A32" s="81"/>
      <c r="B32" s="86"/>
      <c r="C32" s="93"/>
      <c r="D32" s="93"/>
      <c r="E32" s="93"/>
      <c r="F32" s="93"/>
      <c r="G32" s="93"/>
      <c r="H32" s="93"/>
      <c r="I32" s="93"/>
      <c r="J32" s="93"/>
      <c r="K32" s="93"/>
      <c r="L32" s="86"/>
      <c r="M32" s="86"/>
      <c r="N32" s="86"/>
      <c r="O32" s="86"/>
      <c r="P32" s="86"/>
      <c r="Q32" s="87"/>
    </row>
    <row r="33" spans="1:17" s="85" customFormat="1" ht="21.75" customHeight="1">
      <c r="A33" s="81"/>
      <c r="B33" s="93"/>
      <c r="C33" s="93"/>
      <c r="D33" s="77"/>
      <c r="E33" s="77"/>
      <c r="F33" s="77"/>
      <c r="G33" s="77"/>
      <c r="H33" s="86"/>
      <c r="I33" s="93"/>
      <c r="J33" s="77"/>
      <c r="K33" s="77"/>
      <c r="L33" s="86"/>
      <c r="M33" s="86"/>
      <c r="N33" s="86"/>
      <c r="O33" s="86"/>
      <c r="P33" s="86"/>
      <c r="Q33" s="87"/>
    </row>
    <row r="34" spans="1:17" s="85" customFormat="1" ht="21.75" customHeight="1">
      <c r="A34" s="81"/>
      <c r="B34" s="93"/>
      <c r="C34" s="414" t="s">
        <v>119</v>
      </c>
      <c r="D34" s="414"/>
      <c r="E34" s="414"/>
      <c r="F34" s="93"/>
      <c r="G34" s="93"/>
      <c r="H34" s="93"/>
      <c r="I34" s="414" t="s">
        <v>246</v>
      </c>
      <c r="J34" s="414"/>
      <c r="K34" s="414"/>
      <c r="L34" s="86"/>
      <c r="M34" s="86"/>
      <c r="N34" s="86"/>
      <c r="O34" s="86"/>
      <c r="P34" s="86"/>
      <c r="Q34" s="87"/>
    </row>
    <row r="35" spans="1:17" s="85" customFormat="1" ht="21.75" customHeight="1">
      <c r="A35" s="81"/>
      <c r="B35" s="86"/>
      <c r="C35" s="414" t="s">
        <v>111</v>
      </c>
      <c r="D35" s="414"/>
      <c r="E35" s="414"/>
      <c r="F35" s="93"/>
      <c r="G35" s="93"/>
      <c r="H35" s="93"/>
      <c r="I35" s="414" t="s">
        <v>100</v>
      </c>
      <c r="J35" s="414"/>
      <c r="K35" s="414"/>
      <c r="L35" s="86"/>
      <c r="M35" s="86"/>
      <c r="N35" s="86"/>
      <c r="O35" s="86"/>
      <c r="P35" s="86"/>
      <c r="Q35" s="87"/>
    </row>
    <row r="36" spans="1:17" s="85" customFormat="1" ht="18.75">
      <c r="A36" s="81"/>
      <c r="B36" s="86"/>
      <c r="C36" s="93"/>
      <c r="D36" s="93"/>
      <c r="E36" s="93"/>
      <c r="F36" s="93"/>
      <c r="G36" s="93"/>
      <c r="H36" s="93"/>
      <c r="I36" s="86"/>
      <c r="J36" s="86"/>
      <c r="K36" s="86"/>
      <c r="L36" s="86"/>
      <c r="M36" s="86"/>
      <c r="N36" s="86"/>
      <c r="O36" s="86"/>
      <c r="P36" s="86"/>
      <c r="Q36" s="87"/>
    </row>
    <row r="37" spans="1:17" ht="19.5" thickBot="1">
      <c r="A37" s="421" t="s">
        <v>21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</row>
    <row r="38" spans="1:17" s="64" customFormat="1" ht="18.75">
      <c r="A38" s="59" t="s">
        <v>16</v>
      </c>
      <c r="B38" s="416" t="s">
        <v>82</v>
      </c>
      <c r="C38" s="417"/>
      <c r="D38" s="416" t="s">
        <v>85</v>
      </c>
      <c r="E38" s="417"/>
      <c r="F38" s="60" t="s">
        <v>91</v>
      </c>
      <c r="G38" s="60" t="s">
        <v>92</v>
      </c>
      <c r="H38" s="61" t="s">
        <v>95</v>
      </c>
      <c r="I38" s="416" t="s">
        <v>86</v>
      </c>
      <c r="J38" s="417"/>
      <c r="K38" s="62" t="s">
        <v>96</v>
      </c>
      <c r="L38" s="416" t="s">
        <v>87</v>
      </c>
      <c r="M38" s="418"/>
      <c r="N38" s="62" t="s">
        <v>99</v>
      </c>
      <c r="O38" s="62" t="s">
        <v>115</v>
      </c>
      <c r="P38" s="60" t="s">
        <v>80</v>
      </c>
      <c r="Q38" s="63" t="s">
        <v>17</v>
      </c>
    </row>
    <row r="39" spans="1:17" s="64" customFormat="1" ht="19.5" thickBot="1">
      <c r="A39" s="65" t="s">
        <v>18</v>
      </c>
      <c r="B39" s="67" t="s">
        <v>83</v>
      </c>
      <c r="C39" s="68" t="s">
        <v>84</v>
      </c>
      <c r="D39" s="66" t="s">
        <v>76</v>
      </c>
      <c r="E39" s="66" t="s">
        <v>77</v>
      </c>
      <c r="F39" s="67" t="s">
        <v>90</v>
      </c>
      <c r="G39" s="67" t="s">
        <v>93</v>
      </c>
      <c r="H39" s="70" t="s">
        <v>94</v>
      </c>
      <c r="I39" s="66" t="s">
        <v>78</v>
      </c>
      <c r="J39" s="66" t="s">
        <v>79</v>
      </c>
      <c r="K39" s="71" t="s">
        <v>97</v>
      </c>
      <c r="L39" s="68" t="s">
        <v>142</v>
      </c>
      <c r="M39" s="69" t="s">
        <v>88</v>
      </c>
      <c r="N39" s="71" t="s">
        <v>98</v>
      </c>
      <c r="O39" s="71" t="s">
        <v>116</v>
      </c>
      <c r="P39" s="66" t="s">
        <v>81</v>
      </c>
      <c r="Q39" s="72"/>
    </row>
    <row r="40" spans="1:17" s="197" customFormat="1" ht="21" customHeight="1">
      <c r="A40" s="210">
        <v>531000</v>
      </c>
      <c r="B40" s="211"/>
      <c r="C40" s="212"/>
      <c r="D40" s="193"/>
      <c r="E40" s="193"/>
      <c r="F40" s="194"/>
      <c r="G40" s="194"/>
      <c r="H40" s="193"/>
      <c r="I40" s="193"/>
      <c r="J40" s="211"/>
      <c r="K40" s="200"/>
      <c r="L40" s="193"/>
      <c r="M40" s="193"/>
      <c r="N40" s="200"/>
      <c r="O40" s="200"/>
      <c r="P40" s="211"/>
      <c r="Q40" s="200"/>
    </row>
    <row r="41" spans="1:17" s="197" customFormat="1" ht="21" customHeight="1">
      <c r="A41" s="208">
        <v>310100</v>
      </c>
      <c r="B41" s="199">
        <v>0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200">
        <f>SUM(B41:P41)</f>
        <v>0</v>
      </c>
    </row>
    <row r="42" spans="1:17" s="197" customFormat="1" ht="21" customHeight="1">
      <c r="A42" s="208">
        <v>310200</v>
      </c>
      <c r="B42" s="199">
        <v>0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200">
        <f aca="true" t="shared" si="6" ref="Q42:Q49">SUM(B42:P42)</f>
        <v>0</v>
      </c>
    </row>
    <row r="43" spans="1:17" s="197" customFormat="1" ht="21" customHeight="1">
      <c r="A43" s="208">
        <v>310300</v>
      </c>
      <c r="B43" s="199">
        <v>6300</v>
      </c>
      <c r="C43" s="199">
        <v>4200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6300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200">
        <f t="shared" si="6"/>
        <v>16800</v>
      </c>
    </row>
    <row r="44" spans="1:17" s="197" customFormat="1" ht="21" customHeight="1">
      <c r="A44" s="208">
        <v>310400</v>
      </c>
      <c r="B44" s="199">
        <v>3000</v>
      </c>
      <c r="C44" s="199">
        <v>4250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200">
        <f t="shared" si="6"/>
        <v>7250</v>
      </c>
    </row>
    <row r="45" spans="1:17" s="197" customFormat="1" ht="21" customHeight="1">
      <c r="A45" s="208">
        <v>310500</v>
      </c>
      <c r="B45" s="199">
        <v>0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200">
        <f t="shared" si="6"/>
        <v>0</v>
      </c>
    </row>
    <row r="46" spans="1:17" s="197" customFormat="1" ht="21" customHeight="1">
      <c r="A46" s="208">
        <v>310600</v>
      </c>
      <c r="B46" s="199">
        <v>5560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33001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200">
        <f t="shared" si="6"/>
        <v>38561</v>
      </c>
    </row>
    <row r="47" spans="1:17" s="197" customFormat="1" ht="21" customHeight="1">
      <c r="A47" s="208">
        <v>310800</v>
      </c>
      <c r="B47" s="199">
        <v>0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200">
        <f t="shared" si="6"/>
        <v>0</v>
      </c>
    </row>
    <row r="48" spans="1:17" ht="18.75">
      <c r="A48" s="74" t="s">
        <v>19</v>
      </c>
      <c r="B48" s="75">
        <f aca="true" t="shared" si="7" ref="B48:O48">SUM(B41:B47)</f>
        <v>14860</v>
      </c>
      <c r="C48" s="75">
        <f t="shared" si="7"/>
        <v>8450</v>
      </c>
      <c r="D48" s="75">
        <f t="shared" si="7"/>
        <v>0</v>
      </c>
      <c r="E48" s="75">
        <f t="shared" si="7"/>
        <v>0</v>
      </c>
      <c r="F48" s="75">
        <f t="shared" si="7"/>
        <v>0</v>
      </c>
      <c r="G48" s="75">
        <f t="shared" si="7"/>
        <v>0</v>
      </c>
      <c r="H48" s="75">
        <f t="shared" si="7"/>
        <v>0</v>
      </c>
      <c r="I48" s="75">
        <f t="shared" si="7"/>
        <v>39301</v>
      </c>
      <c r="J48" s="75">
        <f t="shared" si="7"/>
        <v>0</v>
      </c>
      <c r="K48" s="75">
        <f t="shared" si="7"/>
        <v>0</v>
      </c>
      <c r="L48" s="75">
        <f t="shared" si="7"/>
        <v>0</v>
      </c>
      <c r="M48" s="75">
        <f t="shared" si="7"/>
        <v>0</v>
      </c>
      <c r="N48" s="75">
        <f t="shared" si="7"/>
        <v>0</v>
      </c>
      <c r="O48" s="75">
        <f t="shared" si="7"/>
        <v>0</v>
      </c>
      <c r="P48" s="75">
        <f>SUM(P41:P47)</f>
        <v>0</v>
      </c>
      <c r="Q48" s="200">
        <f t="shared" si="6"/>
        <v>62611</v>
      </c>
    </row>
    <row r="49" spans="1:17" s="85" customFormat="1" ht="18.75">
      <c r="A49" s="80" t="s">
        <v>20</v>
      </c>
      <c r="B49" s="83">
        <f>2175+3000+25605+3000+14860</f>
        <v>48640</v>
      </c>
      <c r="C49" s="83">
        <f>4687+16060+2750+8450</f>
        <v>31947</v>
      </c>
      <c r="D49" s="83">
        <f>0</f>
        <v>0</v>
      </c>
      <c r="E49" s="83">
        <f>0</f>
        <v>0</v>
      </c>
      <c r="F49" s="83">
        <f>0</f>
        <v>0</v>
      </c>
      <c r="G49" s="83">
        <f>0</f>
        <v>0</v>
      </c>
      <c r="H49" s="83">
        <f>0</f>
        <v>0</v>
      </c>
      <c r="I49" s="83">
        <f>45830+39597+39301</f>
        <v>124728</v>
      </c>
      <c r="J49" s="83">
        <f>0</f>
        <v>0</v>
      </c>
      <c r="K49" s="83">
        <f>0</f>
        <v>0</v>
      </c>
      <c r="L49" s="83">
        <f>0</f>
        <v>0</v>
      </c>
      <c r="M49" s="83">
        <f>0</f>
        <v>0</v>
      </c>
      <c r="N49" s="83">
        <f>0</f>
        <v>0</v>
      </c>
      <c r="O49" s="83">
        <f>0</f>
        <v>0</v>
      </c>
      <c r="P49" s="83">
        <f>0</f>
        <v>0</v>
      </c>
      <c r="Q49" s="331">
        <f t="shared" si="6"/>
        <v>205315</v>
      </c>
    </row>
    <row r="50" spans="1:17" s="197" customFormat="1" ht="21" customHeight="1">
      <c r="A50" s="205">
        <v>532000</v>
      </c>
      <c r="B50" s="203"/>
      <c r="C50" s="209"/>
      <c r="D50" s="206"/>
      <c r="E50" s="206"/>
      <c r="F50" s="207"/>
      <c r="G50" s="207"/>
      <c r="H50" s="203"/>
      <c r="I50" s="206"/>
      <c r="J50" s="203"/>
      <c r="K50" s="200"/>
      <c r="L50" s="206"/>
      <c r="M50" s="206"/>
      <c r="N50" s="200"/>
      <c r="O50" s="200"/>
      <c r="P50" s="203"/>
      <c r="Q50" s="200"/>
    </row>
    <row r="51" spans="1:17" s="197" customFormat="1" ht="21" customHeight="1">
      <c r="A51" s="208">
        <v>320100</v>
      </c>
      <c r="B51" s="199">
        <f>11900+3100+5700+4500+5700</f>
        <v>30900</v>
      </c>
      <c r="C51" s="199">
        <v>3600</v>
      </c>
      <c r="D51" s="199">
        <v>0</v>
      </c>
      <c r="E51" s="199">
        <v>0</v>
      </c>
      <c r="F51" s="199">
        <v>0</v>
      </c>
      <c r="G51" s="199">
        <v>5700</v>
      </c>
      <c r="H51" s="199">
        <v>0</v>
      </c>
      <c r="I51" s="199">
        <v>6800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200">
        <f>SUM(B51:P51)</f>
        <v>47000</v>
      </c>
    </row>
    <row r="52" spans="1:17" s="197" customFormat="1" ht="21" customHeight="1">
      <c r="A52" s="208">
        <v>320200</v>
      </c>
      <c r="B52" s="199">
        <v>0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200">
        <f aca="true" t="shared" si="8" ref="Q52:Q57">SUM(B52:P52)</f>
        <v>0</v>
      </c>
    </row>
    <row r="53" spans="1:17" s="197" customFormat="1" ht="21" customHeight="1">
      <c r="A53" s="208">
        <v>320300</v>
      </c>
      <c r="B53" s="199">
        <v>1756</v>
      </c>
      <c r="C53" s="199">
        <v>0</v>
      </c>
      <c r="D53" s="199">
        <f>4700+6000</f>
        <v>10700</v>
      </c>
      <c r="E53" s="199">
        <v>0</v>
      </c>
      <c r="F53" s="199">
        <v>0</v>
      </c>
      <c r="G53" s="199">
        <f>15000-15000</f>
        <v>0</v>
      </c>
      <c r="H53" s="199">
        <v>0</v>
      </c>
      <c r="I53" s="199">
        <v>14300</v>
      </c>
      <c r="J53" s="199">
        <v>0</v>
      </c>
      <c r="K53" s="199">
        <v>0</v>
      </c>
      <c r="L53" s="199">
        <v>0</v>
      </c>
      <c r="M53" s="199">
        <f>50000-50000</f>
        <v>0</v>
      </c>
      <c r="N53" s="199">
        <v>4800</v>
      </c>
      <c r="O53" s="199">
        <v>0</v>
      </c>
      <c r="P53" s="199">
        <v>0</v>
      </c>
      <c r="Q53" s="200">
        <f t="shared" si="8"/>
        <v>31556</v>
      </c>
    </row>
    <row r="54" spans="1:17" s="197" customFormat="1" ht="21" customHeight="1">
      <c r="A54" s="208">
        <v>320400</v>
      </c>
      <c r="B54" s="199">
        <v>7480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200">
        <f t="shared" si="8"/>
        <v>7480</v>
      </c>
    </row>
    <row r="55" spans="1:17" s="197" customFormat="1" ht="21" customHeight="1">
      <c r="A55" s="208">
        <v>320500</v>
      </c>
      <c r="B55" s="199">
        <v>0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200">
        <f t="shared" si="8"/>
        <v>0</v>
      </c>
    </row>
    <row r="56" spans="1:17" ht="18.75">
      <c r="A56" s="74" t="s">
        <v>19</v>
      </c>
      <c r="B56" s="75">
        <f aca="true" t="shared" si="9" ref="B56:P56">SUM(B51:B55)</f>
        <v>40136</v>
      </c>
      <c r="C56" s="75">
        <f t="shared" si="9"/>
        <v>3600</v>
      </c>
      <c r="D56" s="75">
        <f t="shared" si="9"/>
        <v>10700</v>
      </c>
      <c r="E56" s="75">
        <f t="shared" si="9"/>
        <v>0</v>
      </c>
      <c r="F56" s="75">
        <f t="shared" si="9"/>
        <v>0</v>
      </c>
      <c r="G56" s="75">
        <f t="shared" si="9"/>
        <v>5700</v>
      </c>
      <c r="H56" s="75">
        <f t="shared" si="9"/>
        <v>0</v>
      </c>
      <c r="I56" s="75">
        <f t="shared" si="9"/>
        <v>21100</v>
      </c>
      <c r="J56" s="75">
        <f t="shared" si="9"/>
        <v>0</v>
      </c>
      <c r="K56" s="75">
        <f t="shared" si="9"/>
        <v>0</v>
      </c>
      <c r="L56" s="75">
        <f t="shared" si="9"/>
        <v>0</v>
      </c>
      <c r="M56" s="75">
        <f t="shared" si="9"/>
        <v>0</v>
      </c>
      <c r="N56" s="75">
        <f t="shared" si="9"/>
        <v>4800</v>
      </c>
      <c r="O56" s="75">
        <f t="shared" si="9"/>
        <v>0</v>
      </c>
      <c r="P56" s="75">
        <f t="shared" si="9"/>
        <v>0</v>
      </c>
      <c r="Q56" s="200">
        <f t="shared" si="8"/>
        <v>86036</v>
      </c>
    </row>
    <row r="57" spans="1:17" s="85" customFormat="1" ht="18.75">
      <c r="A57" s="82" t="s">
        <v>20</v>
      </c>
      <c r="B57" s="83">
        <f>10860+23633+65516+66348+40136</f>
        <v>206493</v>
      </c>
      <c r="C57" s="83">
        <f>2700+8986+882+3600</f>
        <v>16168</v>
      </c>
      <c r="D57" s="83">
        <f>900+15800+10700</f>
        <v>27400</v>
      </c>
      <c r="E57" s="83">
        <f>0</f>
        <v>0</v>
      </c>
      <c r="F57" s="83">
        <v>0</v>
      </c>
      <c r="G57" s="83">
        <f>5700+11400+5700</f>
        <v>22800</v>
      </c>
      <c r="H57" s="83">
        <v>0</v>
      </c>
      <c r="I57" s="83">
        <f>5000+5000+21100</f>
        <v>31100</v>
      </c>
      <c r="J57" s="83">
        <f>0</f>
        <v>0</v>
      </c>
      <c r="K57" s="83">
        <f>19300+1750</f>
        <v>21050</v>
      </c>
      <c r="L57" s="83">
        <v>0</v>
      </c>
      <c r="M57" s="83">
        <v>0</v>
      </c>
      <c r="N57" s="83">
        <v>4800</v>
      </c>
      <c r="O57" s="83">
        <v>0</v>
      </c>
      <c r="P57" s="83">
        <f>0</f>
        <v>0</v>
      </c>
      <c r="Q57" s="331">
        <f t="shared" si="8"/>
        <v>329811</v>
      </c>
    </row>
    <row r="58" spans="1:17" s="78" customFormat="1" ht="18.75">
      <c r="A58" s="8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88"/>
    </row>
    <row r="59" spans="1:17" s="78" customFormat="1" ht="18.75">
      <c r="A59" s="81"/>
      <c r="B59" s="77"/>
      <c r="C59" s="414" t="s">
        <v>7</v>
      </c>
      <c r="D59" s="414"/>
      <c r="E59" s="414"/>
      <c r="F59" s="93"/>
      <c r="G59" s="93"/>
      <c r="H59" s="93"/>
      <c r="I59" s="414" t="s">
        <v>101</v>
      </c>
      <c r="J59" s="414"/>
      <c r="K59" s="414"/>
      <c r="L59" s="86"/>
      <c r="M59" s="86"/>
      <c r="N59" s="77"/>
      <c r="O59" s="77"/>
      <c r="P59" s="77"/>
      <c r="Q59" s="88"/>
    </row>
    <row r="60" spans="1:17" s="78" customFormat="1" ht="18.75">
      <c r="A60" s="81"/>
      <c r="B60" s="77"/>
      <c r="C60" s="93"/>
      <c r="D60" s="93"/>
      <c r="E60" s="93"/>
      <c r="F60" s="93"/>
      <c r="G60" s="93"/>
      <c r="H60" s="77"/>
      <c r="I60" s="93"/>
      <c r="J60" s="93"/>
      <c r="K60" s="93"/>
      <c r="L60" s="86"/>
      <c r="M60" s="86"/>
      <c r="N60" s="77"/>
      <c r="O60" s="77"/>
      <c r="P60" s="77"/>
      <c r="Q60" s="88"/>
    </row>
    <row r="61" spans="1:17" s="78" customFormat="1" ht="18.75">
      <c r="A61" s="81"/>
      <c r="B61" s="77"/>
      <c r="C61" s="93"/>
      <c r="D61" s="93"/>
      <c r="E61" s="93"/>
      <c r="F61" s="93"/>
      <c r="G61" s="93"/>
      <c r="H61" s="77"/>
      <c r="I61" s="93"/>
      <c r="J61" s="77"/>
      <c r="K61" s="77"/>
      <c r="L61" s="86"/>
      <c r="M61" s="86"/>
      <c r="N61" s="77"/>
      <c r="O61" s="77"/>
      <c r="P61" s="77"/>
      <c r="Q61" s="88"/>
    </row>
    <row r="62" spans="1:17" s="78" customFormat="1" ht="18.75">
      <c r="A62" s="81"/>
      <c r="B62" s="77"/>
      <c r="C62" s="414" t="s">
        <v>120</v>
      </c>
      <c r="D62" s="414"/>
      <c r="E62" s="414"/>
      <c r="F62" s="77"/>
      <c r="G62" s="77"/>
      <c r="H62" s="77"/>
      <c r="I62" s="414" t="s">
        <v>246</v>
      </c>
      <c r="J62" s="414"/>
      <c r="K62" s="414"/>
      <c r="L62" s="86"/>
      <c r="M62" s="86"/>
      <c r="N62" s="77"/>
      <c r="O62" s="77"/>
      <c r="P62" s="77"/>
      <c r="Q62" s="88"/>
    </row>
    <row r="63" spans="1:17" s="78" customFormat="1" ht="18.75">
      <c r="A63" s="81"/>
      <c r="B63" s="77"/>
      <c r="C63" s="414" t="s">
        <v>111</v>
      </c>
      <c r="D63" s="414"/>
      <c r="E63" s="414"/>
      <c r="F63" s="93"/>
      <c r="G63" s="93"/>
      <c r="H63" s="93"/>
      <c r="I63" s="414" t="s">
        <v>100</v>
      </c>
      <c r="J63" s="414"/>
      <c r="K63" s="414"/>
      <c r="L63" s="86"/>
      <c r="M63" s="86"/>
      <c r="N63" s="77"/>
      <c r="O63" s="77"/>
      <c r="P63" s="77"/>
      <c r="Q63" s="88"/>
    </row>
    <row r="64" spans="1:17" s="78" customFormat="1" ht="18.75">
      <c r="A64" s="81"/>
      <c r="B64" s="77"/>
      <c r="C64" s="414"/>
      <c r="D64" s="414"/>
      <c r="E64" s="414"/>
      <c r="F64" s="93"/>
      <c r="G64" s="93"/>
      <c r="H64" s="93"/>
      <c r="I64" s="86"/>
      <c r="J64" s="86"/>
      <c r="K64" s="77"/>
      <c r="L64" s="86"/>
      <c r="M64" s="86"/>
      <c r="N64" s="77"/>
      <c r="O64" s="77"/>
      <c r="P64" s="77"/>
      <c r="Q64" s="88"/>
    </row>
    <row r="65" spans="1:17" s="78" customFormat="1" ht="18.75">
      <c r="A65" s="81"/>
      <c r="B65" s="77"/>
      <c r="C65" s="93"/>
      <c r="D65" s="93"/>
      <c r="E65" s="93"/>
      <c r="F65" s="93"/>
      <c r="G65" s="93"/>
      <c r="H65" s="93"/>
      <c r="I65" s="86"/>
      <c r="J65" s="86"/>
      <c r="K65" s="77"/>
      <c r="L65" s="86"/>
      <c r="M65" s="86"/>
      <c r="N65" s="77"/>
      <c r="O65" s="77"/>
      <c r="P65" s="77"/>
      <c r="Q65" s="88"/>
    </row>
    <row r="66" spans="1:17" s="78" customFormat="1" ht="18.75">
      <c r="A66" s="81"/>
      <c r="B66" s="77"/>
      <c r="C66" s="93"/>
      <c r="D66" s="93"/>
      <c r="E66" s="93"/>
      <c r="F66" s="93"/>
      <c r="G66" s="93"/>
      <c r="H66" s="93"/>
      <c r="I66" s="86"/>
      <c r="J66" s="86"/>
      <c r="K66" s="77"/>
      <c r="L66" s="86"/>
      <c r="M66" s="86"/>
      <c r="N66" s="77"/>
      <c r="O66" s="77"/>
      <c r="P66" s="77"/>
      <c r="Q66" s="88"/>
    </row>
    <row r="67" spans="1:17" s="78" customFormat="1" ht="18.75">
      <c r="A67" s="81"/>
      <c r="B67" s="77"/>
      <c r="C67" s="93"/>
      <c r="D67" s="93"/>
      <c r="E67" s="93"/>
      <c r="F67" s="93"/>
      <c r="G67" s="93"/>
      <c r="H67" s="93"/>
      <c r="I67" s="86"/>
      <c r="J67" s="86"/>
      <c r="K67" s="77"/>
      <c r="L67" s="86"/>
      <c r="M67" s="86"/>
      <c r="N67" s="77"/>
      <c r="O67" s="77"/>
      <c r="P67" s="77"/>
      <c r="Q67" s="88"/>
    </row>
    <row r="68" spans="1:17" s="78" customFormat="1" ht="18.75">
      <c r="A68" s="81"/>
      <c r="B68" s="77"/>
      <c r="C68" s="93"/>
      <c r="D68" s="93"/>
      <c r="E68" s="93"/>
      <c r="F68" s="93"/>
      <c r="G68" s="93"/>
      <c r="H68" s="93"/>
      <c r="I68" s="86"/>
      <c r="J68" s="86"/>
      <c r="K68" s="77"/>
      <c r="L68" s="86"/>
      <c r="M68" s="86"/>
      <c r="N68" s="77"/>
      <c r="O68" s="77"/>
      <c r="P68" s="77"/>
      <c r="Q68" s="88"/>
    </row>
    <row r="69" spans="1:17" s="78" customFormat="1" ht="18.75">
      <c r="A69" s="81"/>
      <c r="B69" s="77"/>
      <c r="C69" s="93"/>
      <c r="D69" s="93"/>
      <c r="E69" s="93"/>
      <c r="F69" s="93"/>
      <c r="G69" s="93"/>
      <c r="H69" s="93"/>
      <c r="I69" s="86"/>
      <c r="J69" s="86"/>
      <c r="K69" s="77"/>
      <c r="L69" s="86"/>
      <c r="M69" s="86"/>
      <c r="N69" s="77"/>
      <c r="O69" s="77"/>
      <c r="P69" s="77"/>
      <c r="Q69" s="88"/>
    </row>
    <row r="70" spans="1:17" s="78" customFormat="1" ht="18.75">
      <c r="A70" s="81"/>
      <c r="B70" s="77"/>
      <c r="C70" s="93"/>
      <c r="D70" s="93"/>
      <c r="E70" s="93"/>
      <c r="F70" s="93"/>
      <c r="G70" s="93"/>
      <c r="H70" s="93"/>
      <c r="I70" s="86"/>
      <c r="J70" s="86"/>
      <c r="K70" s="77"/>
      <c r="L70" s="86"/>
      <c r="M70" s="86"/>
      <c r="N70" s="77"/>
      <c r="O70" s="77"/>
      <c r="P70" s="77"/>
      <c r="Q70" s="88"/>
    </row>
    <row r="71" spans="1:17" s="78" customFormat="1" ht="18.75">
      <c r="A71" s="81"/>
      <c r="B71" s="77"/>
      <c r="C71" s="93"/>
      <c r="D71" s="93"/>
      <c r="E71" s="93"/>
      <c r="F71" s="93"/>
      <c r="G71" s="93"/>
      <c r="H71" s="93"/>
      <c r="I71" s="86"/>
      <c r="J71" s="86"/>
      <c r="K71" s="77"/>
      <c r="L71" s="86"/>
      <c r="M71" s="86"/>
      <c r="N71" s="77"/>
      <c r="O71" s="77"/>
      <c r="P71" s="77"/>
      <c r="Q71" s="88"/>
    </row>
    <row r="72" spans="1:17" s="78" customFormat="1" ht="18.75">
      <c r="A72" s="81"/>
      <c r="B72" s="77"/>
      <c r="C72" s="93"/>
      <c r="D72" s="93"/>
      <c r="E72" s="93"/>
      <c r="F72" s="93"/>
      <c r="G72" s="93"/>
      <c r="H72" s="93"/>
      <c r="I72" s="86"/>
      <c r="J72" s="86"/>
      <c r="K72" s="77"/>
      <c r="L72" s="86"/>
      <c r="M72" s="86"/>
      <c r="N72" s="77"/>
      <c r="O72" s="77"/>
      <c r="P72" s="77"/>
      <c r="Q72" s="88"/>
    </row>
    <row r="73" spans="1:17" s="78" customFormat="1" ht="18.75">
      <c r="A73" s="8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88"/>
    </row>
    <row r="74" spans="1:17" s="78" customFormat="1" ht="18.75">
      <c r="A74" s="8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88"/>
    </row>
    <row r="75" spans="1:17" ht="19.5" thickBot="1">
      <c r="A75" s="415" t="s">
        <v>72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</row>
    <row r="76" spans="1:17" s="64" customFormat="1" ht="18.75">
      <c r="A76" s="59" t="s">
        <v>16</v>
      </c>
      <c r="B76" s="416" t="s">
        <v>82</v>
      </c>
      <c r="C76" s="417"/>
      <c r="D76" s="416" t="s">
        <v>85</v>
      </c>
      <c r="E76" s="417"/>
      <c r="F76" s="60" t="s">
        <v>91</v>
      </c>
      <c r="G76" s="60" t="s">
        <v>92</v>
      </c>
      <c r="H76" s="61" t="s">
        <v>95</v>
      </c>
      <c r="I76" s="416" t="s">
        <v>86</v>
      </c>
      <c r="J76" s="417"/>
      <c r="K76" s="62" t="s">
        <v>96</v>
      </c>
      <c r="L76" s="416" t="s">
        <v>87</v>
      </c>
      <c r="M76" s="418"/>
      <c r="N76" s="62" t="s">
        <v>99</v>
      </c>
      <c r="O76" s="62" t="s">
        <v>115</v>
      </c>
      <c r="P76" s="60" t="s">
        <v>80</v>
      </c>
      <c r="Q76" s="63" t="s">
        <v>17</v>
      </c>
    </row>
    <row r="77" spans="1:17" s="64" customFormat="1" ht="19.5" thickBot="1">
      <c r="A77" s="65" t="s">
        <v>18</v>
      </c>
      <c r="B77" s="67" t="s">
        <v>83</v>
      </c>
      <c r="C77" s="68" t="s">
        <v>84</v>
      </c>
      <c r="D77" s="66" t="s">
        <v>76</v>
      </c>
      <c r="E77" s="66" t="s">
        <v>77</v>
      </c>
      <c r="F77" s="67" t="s">
        <v>90</v>
      </c>
      <c r="G77" s="67" t="s">
        <v>93</v>
      </c>
      <c r="H77" s="70" t="s">
        <v>94</v>
      </c>
      <c r="I77" s="66" t="s">
        <v>78</v>
      </c>
      <c r="J77" s="66" t="s">
        <v>79</v>
      </c>
      <c r="K77" s="71" t="s">
        <v>97</v>
      </c>
      <c r="L77" s="68" t="s">
        <v>142</v>
      </c>
      <c r="M77" s="69" t="s">
        <v>88</v>
      </c>
      <c r="N77" s="71" t="s">
        <v>98</v>
      </c>
      <c r="O77" s="71" t="s">
        <v>116</v>
      </c>
      <c r="P77" s="66" t="s">
        <v>81</v>
      </c>
      <c r="Q77" s="72"/>
    </row>
    <row r="78" spans="1:17" s="197" customFormat="1" ht="21" customHeight="1">
      <c r="A78" s="205">
        <v>533000</v>
      </c>
      <c r="B78" s="212"/>
      <c r="C78" s="193"/>
      <c r="D78" s="203"/>
      <c r="E78" s="209"/>
      <c r="F78" s="200"/>
      <c r="G78" s="218"/>
      <c r="H78" s="211"/>
      <c r="I78" s="194"/>
      <c r="J78" s="203"/>
      <c r="K78" s="200"/>
      <c r="L78" s="203"/>
      <c r="M78" s="203"/>
      <c r="N78" s="200"/>
      <c r="O78" s="211"/>
      <c r="P78" s="203"/>
      <c r="Q78" s="200"/>
    </row>
    <row r="79" spans="1:17" s="197" customFormat="1" ht="21" customHeight="1">
      <c r="A79" s="219">
        <v>330100</v>
      </c>
      <c r="B79" s="199">
        <v>0</v>
      </c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200">
        <f>SUM(B79:P79)</f>
        <v>0</v>
      </c>
    </row>
    <row r="80" spans="1:17" s="197" customFormat="1" ht="21" customHeight="1">
      <c r="A80" s="219">
        <v>330200</v>
      </c>
      <c r="B80" s="199">
        <v>0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200">
        <f aca="true" t="shared" si="10" ref="Q80:Q93">SUM(B80:P80)</f>
        <v>0</v>
      </c>
    </row>
    <row r="81" spans="1:17" s="197" customFormat="1" ht="21" customHeight="1">
      <c r="A81" s="208">
        <v>330300</v>
      </c>
      <c r="B81" s="199">
        <v>2100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35000</v>
      </c>
      <c r="P81" s="199">
        <v>0</v>
      </c>
      <c r="Q81" s="200">
        <f t="shared" si="10"/>
        <v>37100</v>
      </c>
    </row>
    <row r="82" spans="1:17" s="197" customFormat="1" ht="21" customHeight="1">
      <c r="A82" s="208">
        <v>330600</v>
      </c>
      <c r="B82" s="199">
        <v>1990</v>
      </c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200">
        <f t="shared" si="10"/>
        <v>1990</v>
      </c>
    </row>
    <row r="83" spans="1:17" s="197" customFormat="1" ht="21" customHeight="1">
      <c r="A83" s="208">
        <v>330700</v>
      </c>
      <c r="B83" s="199">
        <v>0</v>
      </c>
      <c r="C83" s="199">
        <v>0</v>
      </c>
      <c r="D83" s="199">
        <v>0</v>
      </c>
      <c r="E83" s="199">
        <v>0</v>
      </c>
      <c r="F83" s="199">
        <v>0</v>
      </c>
      <c r="G83" s="199">
        <v>0</v>
      </c>
      <c r="H83" s="199">
        <v>0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200">
        <f t="shared" si="10"/>
        <v>0</v>
      </c>
    </row>
    <row r="84" spans="1:17" s="197" customFormat="1" ht="21" customHeight="1">
      <c r="A84" s="208">
        <v>330800</v>
      </c>
      <c r="B84" s="199">
        <v>17945</v>
      </c>
      <c r="C84" s="199">
        <v>0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200">
        <f t="shared" si="10"/>
        <v>17945</v>
      </c>
    </row>
    <row r="85" spans="1:17" s="197" customFormat="1" ht="21" customHeight="1">
      <c r="A85" s="208">
        <v>330900</v>
      </c>
      <c r="B85" s="199">
        <v>0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200">
        <f t="shared" si="10"/>
        <v>0</v>
      </c>
    </row>
    <row r="86" spans="1:17" s="197" customFormat="1" ht="21" customHeight="1">
      <c r="A86" s="208">
        <v>331000</v>
      </c>
      <c r="B86" s="199">
        <v>0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11620</v>
      </c>
      <c r="O86" s="199">
        <v>0</v>
      </c>
      <c r="P86" s="199">
        <v>0</v>
      </c>
      <c r="Q86" s="200">
        <f t="shared" si="10"/>
        <v>11620</v>
      </c>
    </row>
    <row r="87" spans="1:17" s="197" customFormat="1" ht="21" customHeight="1">
      <c r="A87" s="208">
        <v>331100</v>
      </c>
      <c r="B87" s="199">
        <v>0</v>
      </c>
      <c r="C87" s="199">
        <v>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200">
        <f t="shared" si="10"/>
        <v>0</v>
      </c>
    </row>
    <row r="88" spans="1:17" s="197" customFormat="1" ht="21" customHeight="1">
      <c r="A88" s="208">
        <v>331400</v>
      </c>
      <c r="B88" s="199">
        <v>0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200">
        <f t="shared" si="10"/>
        <v>0</v>
      </c>
    </row>
    <row r="89" spans="1:17" s="197" customFormat="1" ht="21" customHeight="1">
      <c r="A89" s="208">
        <v>331700</v>
      </c>
      <c r="B89" s="199">
        <v>0</v>
      </c>
      <c r="C89" s="199">
        <v>0</v>
      </c>
      <c r="D89" s="199">
        <v>0</v>
      </c>
      <c r="E89" s="199">
        <v>0</v>
      </c>
      <c r="F89" s="199">
        <v>0</v>
      </c>
      <c r="G89" s="199">
        <f>13200-13200</f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200">
        <f t="shared" si="10"/>
        <v>0</v>
      </c>
    </row>
    <row r="90" spans="1:17" s="197" customFormat="1" ht="21" customHeight="1">
      <c r="A90" s="208">
        <v>331800</v>
      </c>
      <c r="B90" s="199">
        <v>0</v>
      </c>
      <c r="C90" s="199">
        <v>0</v>
      </c>
      <c r="D90" s="199">
        <v>0</v>
      </c>
      <c r="E90" s="199">
        <v>0</v>
      </c>
      <c r="F90" s="199">
        <v>0</v>
      </c>
      <c r="G90" s="199">
        <f>13200-13200</f>
        <v>0</v>
      </c>
      <c r="H90" s="199">
        <v>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200">
        <f t="shared" si="10"/>
        <v>0</v>
      </c>
    </row>
    <row r="91" spans="1:17" s="197" customFormat="1" ht="21" customHeight="1">
      <c r="A91" s="208">
        <v>331900</v>
      </c>
      <c r="B91" s="199">
        <v>3600</v>
      </c>
      <c r="C91" s="199">
        <v>0</v>
      </c>
      <c r="D91" s="199">
        <v>0</v>
      </c>
      <c r="E91" s="199">
        <v>0</v>
      </c>
      <c r="F91" s="199">
        <v>0</v>
      </c>
      <c r="G91" s="199">
        <f>13200-13200</f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200">
        <f>SUM(B91:P91)</f>
        <v>3600</v>
      </c>
    </row>
    <row r="92" spans="1:17" ht="18.75">
      <c r="A92" s="74" t="s">
        <v>19</v>
      </c>
      <c r="B92" s="75">
        <f>SUM(B79:B91)</f>
        <v>25635</v>
      </c>
      <c r="C92" s="75">
        <f aca="true" t="shared" si="11" ref="C92:P92">SUM(C79:C91)</f>
        <v>0</v>
      </c>
      <c r="D92" s="75">
        <f t="shared" si="11"/>
        <v>0</v>
      </c>
      <c r="E92" s="75">
        <f t="shared" si="11"/>
        <v>0</v>
      </c>
      <c r="F92" s="75">
        <f t="shared" si="11"/>
        <v>0</v>
      </c>
      <c r="G92" s="75">
        <f t="shared" si="11"/>
        <v>0</v>
      </c>
      <c r="H92" s="75">
        <f t="shared" si="11"/>
        <v>0</v>
      </c>
      <c r="I92" s="75">
        <f t="shared" si="11"/>
        <v>0</v>
      </c>
      <c r="J92" s="75">
        <f t="shared" si="11"/>
        <v>0</v>
      </c>
      <c r="K92" s="75">
        <f t="shared" si="11"/>
        <v>0</v>
      </c>
      <c r="L92" s="75">
        <f t="shared" si="11"/>
        <v>0</v>
      </c>
      <c r="M92" s="75">
        <f t="shared" si="11"/>
        <v>0</v>
      </c>
      <c r="N92" s="75">
        <f t="shared" si="11"/>
        <v>11620</v>
      </c>
      <c r="O92" s="75">
        <f t="shared" si="11"/>
        <v>35000</v>
      </c>
      <c r="P92" s="75">
        <f t="shared" si="11"/>
        <v>0</v>
      </c>
      <c r="Q92" s="200">
        <f t="shared" si="10"/>
        <v>72255</v>
      </c>
    </row>
    <row r="93" spans="1:17" s="85" customFormat="1" ht="18.75">
      <c r="A93" s="80" t="s">
        <v>20</v>
      </c>
      <c r="B93" s="83">
        <f>10810+31819+52305+35629+25635</f>
        <v>156198</v>
      </c>
      <c r="C93" s="83">
        <f>5400+17100</f>
        <v>22500</v>
      </c>
      <c r="D93" s="83">
        <f>0</f>
        <v>0</v>
      </c>
      <c r="E93" s="83">
        <f>0</f>
        <v>0</v>
      </c>
      <c r="F93" s="83">
        <v>0</v>
      </c>
      <c r="G93" s="83">
        <v>0</v>
      </c>
      <c r="H93" s="83">
        <f>0</f>
        <v>0</v>
      </c>
      <c r="I93" s="83">
        <v>0</v>
      </c>
      <c r="J93" s="83">
        <f>0</f>
        <v>0</v>
      </c>
      <c r="K93" s="83">
        <f>0</f>
        <v>0</v>
      </c>
      <c r="L93" s="83">
        <v>0</v>
      </c>
      <c r="M93" s="83">
        <f>0</f>
        <v>0</v>
      </c>
      <c r="N93" s="83">
        <f>5250+11620</f>
        <v>16870</v>
      </c>
      <c r="O93" s="83">
        <f>25000+35000</f>
        <v>60000</v>
      </c>
      <c r="P93" s="83">
        <f>0</f>
        <v>0</v>
      </c>
      <c r="Q93" s="331">
        <f t="shared" si="10"/>
        <v>255568</v>
      </c>
    </row>
    <row r="94" spans="1:17" s="197" customFormat="1" ht="21" customHeight="1">
      <c r="A94" s="205">
        <v>534000</v>
      </c>
      <c r="B94" s="207"/>
      <c r="C94" s="206"/>
      <c r="D94" s="206"/>
      <c r="E94" s="207"/>
      <c r="F94" s="200"/>
      <c r="G94" s="206"/>
      <c r="H94" s="206"/>
      <c r="I94" s="206"/>
      <c r="J94" s="203"/>
      <c r="K94" s="200"/>
      <c r="L94" s="206"/>
      <c r="M94" s="206"/>
      <c r="N94" s="200"/>
      <c r="O94" s="206"/>
      <c r="P94" s="203"/>
      <c r="Q94" s="200"/>
    </row>
    <row r="95" spans="1:17" s="197" customFormat="1" ht="21" customHeight="1">
      <c r="A95" s="208">
        <v>340100</v>
      </c>
      <c r="B95" s="199">
        <v>6546.86</v>
      </c>
      <c r="C95" s="199">
        <v>0</v>
      </c>
      <c r="D95" s="199">
        <v>0</v>
      </c>
      <c r="E95" s="199">
        <v>0</v>
      </c>
      <c r="F95" s="199">
        <v>0</v>
      </c>
      <c r="G95" s="199">
        <v>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8565.42</v>
      </c>
      <c r="P95" s="199">
        <v>0</v>
      </c>
      <c r="Q95" s="200">
        <f aca="true" t="shared" si="12" ref="Q95:Q100">SUM(B95:P95)</f>
        <v>15112.279999999999</v>
      </c>
    </row>
    <row r="96" spans="1:17" s="197" customFormat="1" ht="21" customHeight="1">
      <c r="A96" s="208">
        <v>340300</v>
      </c>
      <c r="B96" s="199">
        <v>529.75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0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200">
        <f t="shared" si="12"/>
        <v>529.75</v>
      </c>
    </row>
    <row r="97" spans="1:17" s="197" customFormat="1" ht="21" customHeight="1">
      <c r="A97" s="208">
        <v>340400</v>
      </c>
      <c r="B97" s="199">
        <v>417.39</v>
      </c>
      <c r="C97" s="199">
        <v>0</v>
      </c>
      <c r="D97" s="199">
        <v>0</v>
      </c>
      <c r="E97" s="199">
        <v>0</v>
      </c>
      <c r="F97" s="199">
        <v>0</v>
      </c>
      <c r="G97" s="199">
        <v>0</v>
      </c>
      <c r="H97" s="199">
        <v>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200">
        <f t="shared" si="12"/>
        <v>417.39</v>
      </c>
    </row>
    <row r="98" spans="1:17" s="197" customFormat="1" ht="21" customHeight="1">
      <c r="A98" s="208">
        <v>340500</v>
      </c>
      <c r="B98" s="199">
        <v>5243</v>
      </c>
      <c r="C98" s="199">
        <v>0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200">
        <f t="shared" si="12"/>
        <v>5243</v>
      </c>
    </row>
    <row r="99" spans="1:17" ht="18.75">
      <c r="A99" s="74" t="s">
        <v>19</v>
      </c>
      <c r="B99" s="76">
        <f>SUM(B95:B98)</f>
        <v>12737</v>
      </c>
      <c r="C99" s="76">
        <f aca="true" t="shared" si="13" ref="C99:P99">SUM(C95:C98)</f>
        <v>0</v>
      </c>
      <c r="D99" s="76">
        <f t="shared" si="13"/>
        <v>0</v>
      </c>
      <c r="E99" s="76">
        <f t="shared" si="13"/>
        <v>0</v>
      </c>
      <c r="F99" s="76">
        <f t="shared" si="13"/>
        <v>0</v>
      </c>
      <c r="G99" s="76">
        <f t="shared" si="13"/>
        <v>0</v>
      </c>
      <c r="H99" s="76">
        <f t="shared" si="13"/>
        <v>0</v>
      </c>
      <c r="I99" s="76">
        <f t="shared" si="13"/>
        <v>0</v>
      </c>
      <c r="J99" s="76">
        <f t="shared" si="13"/>
        <v>0</v>
      </c>
      <c r="K99" s="76">
        <f t="shared" si="13"/>
        <v>0</v>
      </c>
      <c r="L99" s="76">
        <f t="shared" si="13"/>
        <v>0</v>
      </c>
      <c r="M99" s="76">
        <f t="shared" si="13"/>
        <v>0</v>
      </c>
      <c r="N99" s="76">
        <f t="shared" si="13"/>
        <v>0</v>
      </c>
      <c r="O99" s="76">
        <f t="shared" si="13"/>
        <v>8565.42</v>
      </c>
      <c r="P99" s="76">
        <f t="shared" si="13"/>
        <v>0</v>
      </c>
      <c r="Q99" s="200">
        <f t="shared" si="12"/>
        <v>21302.42</v>
      </c>
    </row>
    <row r="100" spans="1:17" s="85" customFormat="1" ht="18.75">
      <c r="A100" s="80" t="s">
        <v>20</v>
      </c>
      <c r="B100" s="83">
        <f>13003.24+11775.36+16540.26+9243.87+12737</f>
        <v>63299.73</v>
      </c>
      <c r="C100" s="83">
        <f>0</f>
        <v>0</v>
      </c>
      <c r="D100" s="83">
        <f>0</f>
        <v>0</v>
      </c>
      <c r="E100" s="83">
        <f>0</f>
        <v>0</v>
      </c>
      <c r="F100" s="83">
        <f>0</f>
        <v>0</v>
      </c>
      <c r="G100" s="83">
        <f>0</f>
        <v>0</v>
      </c>
      <c r="H100" s="83">
        <f>0</f>
        <v>0</v>
      </c>
      <c r="I100" s="83">
        <f>0</f>
        <v>0</v>
      </c>
      <c r="J100" s="83">
        <f>0</f>
        <v>0</v>
      </c>
      <c r="K100" s="83">
        <f>0</f>
        <v>0</v>
      </c>
      <c r="L100" s="83">
        <f>0</f>
        <v>0</v>
      </c>
      <c r="M100" s="83">
        <f>0</f>
        <v>0</v>
      </c>
      <c r="N100" s="83">
        <f>0</f>
        <v>0</v>
      </c>
      <c r="O100" s="83">
        <f>7694.78+7150.59+5409.28+6606.42+8565.42</f>
        <v>35426.49</v>
      </c>
      <c r="P100" s="83">
        <f>0</f>
        <v>0</v>
      </c>
      <c r="Q100" s="331">
        <f t="shared" si="12"/>
        <v>98726.22</v>
      </c>
    </row>
    <row r="101" spans="1:17" s="85" customFormat="1" ht="17.25" customHeight="1">
      <c r="A101" s="81"/>
      <c r="B101" s="89"/>
      <c r="C101" s="414" t="s">
        <v>7</v>
      </c>
      <c r="D101" s="414"/>
      <c r="E101" s="414"/>
      <c r="F101" s="93"/>
      <c r="G101" s="93"/>
      <c r="H101" s="308"/>
      <c r="I101" s="414" t="s">
        <v>101</v>
      </c>
      <c r="J101" s="414"/>
      <c r="K101" s="414"/>
      <c r="L101" s="89"/>
      <c r="M101" s="89"/>
      <c r="N101" s="89"/>
      <c r="O101" s="89"/>
      <c r="P101" s="89"/>
      <c r="Q101" s="90"/>
    </row>
    <row r="102" spans="1:17" s="85" customFormat="1" ht="18.75">
      <c r="A102" s="81"/>
      <c r="B102" s="86"/>
      <c r="C102" s="93"/>
      <c r="D102" s="93"/>
      <c r="E102" s="93"/>
      <c r="F102" s="93"/>
      <c r="G102" s="93"/>
      <c r="H102" s="93"/>
      <c r="I102" s="93"/>
      <c r="J102" s="93"/>
      <c r="K102" s="93"/>
      <c r="L102" s="86"/>
      <c r="M102" s="86"/>
      <c r="N102" s="86"/>
      <c r="O102" s="86"/>
      <c r="P102" s="86"/>
      <c r="Q102" s="91"/>
    </row>
    <row r="103" spans="1:17" s="85" customFormat="1" ht="18.75">
      <c r="A103" s="81"/>
      <c r="B103" s="86"/>
      <c r="C103" s="93"/>
      <c r="D103" s="93"/>
      <c r="E103" s="93"/>
      <c r="F103" s="93"/>
      <c r="G103" s="93"/>
      <c r="H103" s="86"/>
      <c r="I103" s="93"/>
      <c r="J103" s="77"/>
      <c r="K103" s="77"/>
      <c r="L103" s="86"/>
      <c r="M103" s="86"/>
      <c r="N103" s="86"/>
      <c r="O103" s="86"/>
      <c r="P103" s="86"/>
      <c r="Q103" s="91"/>
    </row>
    <row r="104" spans="1:17" s="85" customFormat="1" ht="18.75">
      <c r="A104" s="81"/>
      <c r="B104" s="86"/>
      <c r="C104" s="414" t="s">
        <v>119</v>
      </c>
      <c r="D104" s="414"/>
      <c r="E104" s="414"/>
      <c r="F104" s="93"/>
      <c r="G104" s="93"/>
      <c r="H104" s="93"/>
      <c r="I104" s="414" t="s">
        <v>246</v>
      </c>
      <c r="J104" s="414"/>
      <c r="K104" s="414"/>
      <c r="L104" s="86"/>
      <c r="M104" s="86"/>
      <c r="N104" s="86"/>
      <c r="O104" s="86"/>
      <c r="P104" s="86"/>
      <c r="Q104" s="91"/>
    </row>
    <row r="105" spans="1:17" s="85" customFormat="1" ht="18.75">
      <c r="A105" s="81"/>
      <c r="B105" s="86"/>
      <c r="C105" s="414" t="s">
        <v>111</v>
      </c>
      <c r="D105" s="414"/>
      <c r="E105" s="414"/>
      <c r="F105" s="93"/>
      <c r="G105" s="93"/>
      <c r="H105" s="93"/>
      <c r="I105" s="414" t="s">
        <v>100</v>
      </c>
      <c r="J105" s="414"/>
      <c r="K105" s="414"/>
      <c r="L105" s="86"/>
      <c r="M105" s="86"/>
      <c r="N105" s="86"/>
      <c r="O105" s="86"/>
      <c r="P105" s="86"/>
      <c r="Q105" s="91"/>
    </row>
    <row r="106" spans="1:17" s="85" customFormat="1" ht="18.75">
      <c r="A106" s="81"/>
      <c r="B106" s="86"/>
      <c r="C106" s="93"/>
      <c r="D106" s="93"/>
      <c r="E106" s="93"/>
      <c r="F106" s="93"/>
      <c r="G106" s="93"/>
      <c r="H106" s="93"/>
      <c r="I106" s="86"/>
      <c r="J106" s="86"/>
      <c r="K106" s="86"/>
      <c r="L106" s="86"/>
      <c r="M106" s="86"/>
      <c r="N106" s="86"/>
      <c r="O106" s="86"/>
      <c r="P106" s="86"/>
      <c r="Q106" s="91"/>
    </row>
    <row r="107" spans="1:17" s="85" customFormat="1" ht="18.75">
      <c r="A107" s="81"/>
      <c r="B107" s="86"/>
      <c r="C107" s="93"/>
      <c r="D107" s="93"/>
      <c r="E107" s="93"/>
      <c r="F107" s="93"/>
      <c r="G107" s="93"/>
      <c r="H107" s="93"/>
      <c r="I107" s="86"/>
      <c r="J107" s="86"/>
      <c r="K107" s="86"/>
      <c r="L107" s="86"/>
      <c r="M107" s="86"/>
      <c r="N107" s="86"/>
      <c r="O107" s="86"/>
      <c r="P107" s="86"/>
      <c r="Q107" s="91"/>
    </row>
    <row r="108" spans="1:17" s="85" customFormat="1" ht="18.75">
      <c r="A108" s="81"/>
      <c r="B108" s="86"/>
      <c r="C108" s="93"/>
      <c r="D108" s="93"/>
      <c r="E108" s="93"/>
      <c r="F108" s="93"/>
      <c r="G108" s="93"/>
      <c r="H108" s="93"/>
      <c r="I108" s="86"/>
      <c r="J108" s="86"/>
      <c r="K108" s="86"/>
      <c r="L108" s="86"/>
      <c r="M108" s="86"/>
      <c r="N108" s="86"/>
      <c r="O108" s="86"/>
      <c r="P108" s="86"/>
      <c r="Q108" s="91"/>
    </row>
    <row r="109" spans="1:17" s="85" customFormat="1" ht="18.75">
      <c r="A109" s="81"/>
      <c r="B109" s="86"/>
      <c r="C109" s="93"/>
      <c r="D109" s="93"/>
      <c r="E109" s="93"/>
      <c r="F109" s="93"/>
      <c r="G109" s="93"/>
      <c r="H109" s="93"/>
      <c r="I109" s="86"/>
      <c r="J109" s="86"/>
      <c r="K109" s="86"/>
      <c r="L109" s="86"/>
      <c r="M109" s="86"/>
      <c r="N109" s="86"/>
      <c r="O109" s="86"/>
      <c r="P109" s="86"/>
      <c r="Q109" s="91"/>
    </row>
    <row r="110" spans="1:17" s="85" customFormat="1" ht="18.75">
      <c r="A110" s="81"/>
      <c r="B110" s="86"/>
      <c r="C110" s="93"/>
      <c r="D110" s="93"/>
      <c r="E110" s="93"/>
      <c r="F110" s="93"/>
      <c r="G110" s="93"/>
      <c r="H110" s="93"/>
      <c r="I110" s="86"/>
      <c r="J110" s="86"/>
      <c r="K110" s="86"/>
      <c r="L110" s="86"/>
      <c r="M110" s="86"/>
      <c r="N110" s="86"/>
      <c r="O110" s="86"/>
      <c r="P110" s="86"/>
      <c r="Q110" s="91"/>
    </row>
    <row r="111" spans="1:17" s="85" customFormat="1" ht="18.75">
      <c r="A111" s="81"/>
      <c r="B111" s="86"/>
      <c r="C111" s="93"/>
      <c r="D111" s="93"/>
      <c r="E111" s="93"/>
      <c r="F111" s="93"/>
      <c r="G111" s="93"/>
      <c r="H111" s="93"/>
      <c r="I111" s="86"/>
      <c r="J111" s="86"/>
      <c r="K111" s="86"/>
      <c r="L111" s="86"/>
      <c r="M111" s="86"/>
      <c r="N111" s="86"/>
      <c r="O111" s="86"/>
      <c r="P111" s="86"/>
      <c r="Q111" s="91"/>
    </row>
    <row r="112" spans="1:17" s="85" customFormat="1" ht="18.75">
      <c r="A112" s="81"/>
      <c r="B112" s="86"/>
      <c r="C112" s="93"/>
      <c r="D112" s="93"/>
      <c r="E112" s="93"/>
      <c r="F112" s="93"/>
      <c r="G112" s="93"/>
      <c r="H112" s="93"/>
      <c r="I112" s="86"/>
      <c r="J112" s="86"/>
      <c r="K112" s="86"/>
      <c r="L112" s="86"/>
      <c r="M112" s="86"/>
      <c r="N112" s="86"/>
      <c r="O112" s="86"/>
      <c r="P112" s="86"/>
      <c r="Q112" s="91"/>
    </row>
    <row r="113" spans="1:17" s="85" customFormat="1" ht="18.75">
      <c r="A113" s="81"/>
      <c r="B113" s="86"/>
      <c r="C113" s="93"/>
      <c r="D113" s="93"/>
      <c r="E113" s="93"/>
      <c r="F113" s="93"/>
      <c r="G113" s="93"/>
      <c r="H113" s="93"/>
      <c r="I113" s="86"/>
      <c r="J113" s="86"/>
      <c r="K113" s="86"/>
      <c r="L113" s="86"/>
      <c r="M113" s="86"/>
      <c r="N113" s="86"/>
      <c r="O113" s="86"/>
      <c r="P113" s="86"/>
      <c r="Q113" s="91"/>
    </row>
    <row r="114" spans="1:17" ht="19.5" thickBot="1">
      <c r="A114" s="415" t="s">
        <v>245</v>
      </c>
      <c r="B114" s="415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</row>
    <row r="115" spans="1:17" s="64" customFormat="1" ht="18.75">
      <c r="A115" s="59" t="s">
        <v>16</v>
      </c>
      <c r="B115" s="416" t="s">
        <v>82</v>
      </c>
      <c r="C115" s="417"/>
      <c r="D115" s="416" t="s">
        <v>85</v>
      </c>
      <c r="E115" s="417"/>
      <c r="F115" s="60" t="s">
        <v>91</v>
      </c>
      <c r="G115" s="60" t="s">
        <v>92</v>
      </c>
      <c r="H115" s="61" t="s">
        <v>95</v>
      </c>
      <c r="I115" s="416" t="s">
        <v>86</v>
      </c>
      <c r="J115" s="417"/>
      <c r="K115" s="62" t="s">
        <v>96</v>
      </c>
      <c r="L115" s="416" t="s">
        <v>87</v>
      </c>
      <c r="M115" s="418"/>
      <c r="N115" s="62" t="s">
        <v>99</v>
      </c>
      <c r="O115" s="62" t="s">
        <v>115</v>
      </c>
      <c r="P115" s="60" t="s">
        <v>80</v>
      </c>
      <c r="Q115" s="63" t="s">
        <v>17</v>
      </c>
    </row>
    <row r="116" spans="1:17" s="64" customFormat="1" ht="19.5" thickBot="1">
      <c r="A116" s="65" t="s">
        <v>18</v>
      </c>
      <c r="B116" s="67" t="s">
        <v>83</v>
      </c>
      <c r="C116" s="68" t="s">
        <v>84</v>
      </c>
      <c r="D116" s="66" t="s">
        <v>76</v>
      </c>
      <c r="E116" s="66" t="s">
        <v>77</v>
      </c>
      <c r="F116" s="67" t="s">
        <v>90</v>
      </c>
      <c r="G116" s="67" t="s">
        <v>93</v>
      </c>
      <c r="H116" s="70" t="s">
        <v>94</v>
      </c>
      <c r="I116" s="66" t="s">
        <v>78</v>
      </c>
      <c r="J116" s="66" t="s">
        <v>79</v>
      </c>
      <c r="K116" s="71" t="s">
        <v>97</v>
      </c>
      <c r="L116" s="68" t="s">
        <v>88</v>
      </c>
      <c r="M116" s="69" t="s">
        <v>89</v>
      </c>
      <c r="N116" s="71" t="s">
        <v>98</v>
      </c>
      <c r="O116" s="71" t="s">
        <v>116</v>
      </c>
      <c r="P116" s="66" t="s">
        <v>81</v>
      </c>
      <c r="Q116" s="72"/>
    </row>
    <row r="117" spans="1:17" s="197" customFormat="1" ht="21" customHeight="1">
      <c r="A117" s="205">
        <v>541000</v>
      </c>
      <c r="B117" s="207"/>
      <c r="C117" s="206"/>
      <c r="D117" s="206"/>
      <c r="E117" s="207"/>
      <c r="F117" s="200"/>
      <c r="G117" s="206"/>
      <c r="H117" s="206"/>
      <c r="I117" s="206"/>
      <c r="J117" s="203"/>
      <c r="K117" s="200"/>
      <c r="L117" s="206"/>
      <c r="M117" s="206"/>
      <c r="N117" s="200"/>
      <c r="O117" s="206"/>
      <c r="P117" s="203"/>
      <c r="Q117" s="200"/>
    </row>
    <row r="118" spans="1:17" s="197" customFormat="1" ht="21" customHeight="1">
      <c r="A118" s="219">
        <v>410100</v>
      </c>
      <c r="B118" s="201">
        <v>19200</v>
      </c>
      <c r="C118" s="199">
        <v>0</v>
      </c>
      <c r="D118" s="199">
        <v>0</v>
      </c>
      <c r="E118" s="201">
        <f>22500-9000-13500</f>
        <v>0</v>
      </c>
      <c r="F118" s="199">
        <v>0</v>
      </c>
      <c r="G118" s="199">
        <v>0</v>
      </c>
      <c r="H118" s="199">
        <v>0</v>
      </c>
      <c r="I118" s="199">
        <v>0</v>
      </c>
      <c r="J118" s="199">
        <v>0</v>
      </c>
      <c r="K118" s="199">
        <v>0</v>
      </c>
      <c r="L118" s="200">
        <v>0</v>
      </c>
      <c r="M118" s="199">
        <v>0</v>
      </c>
      <c r="N118" s="199">
        <v>0</v>
      </c>
      <c r="O118" s="199">
        <v>0</v>
      </c>
      <c r="P118" s="199">
        <v>0</v>
      </c>
      <c r="Q118" s="200">
        <f>SUM(B118:P118)</f>
        <v>19200</v>
      </c>
    </row>
    <row r="119" spans="1:17" s="197" customFormat="1" ht="21" customHeight="1">
      <c r="A119" s="208">
        <v>410300</v>
      </c>
      <c r="B119" s="199">
        <v>0</v>
      </c>
      <c r="C119" s="199">
        <v>0</v>
      </c>
      <c r="D119" s="199">
        <v>0</v>
      </c>
      <c r="E119" s="199">
        <v>0</v>
      </c>
      <c r="F119" s="199">
        <v>0</v>
      </c>
      <c r="G119" s="199">
        <v>0</v>
      </c>
      <c r="H119" s="199">
        <v>0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200">
        <f aca="true" t="shared" si="14" ref="Q119:Q125">SUM(B119:P119)</f>
        <v>0</v>
      </c>
    </row>
    <row r="120" spans="1:17" s="197" customFormat="1" ht="21" customHeight="1">
      <c r="A120" s="208">
        <v>410700</v>
      </c>
      <c r="B120" s="199">
        <v>0</v>
      </c>
      <c r="C120" s="199">
        <v>0</v>
      </c>
      <c r="D120" s="199">
        <v>0</v>
      </c>
      <c r="E120" s="199">
        <v>0</v>
      </c>
      <c r="F120" s="199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200">
        <f t="shared" si="14"/>
        <v>0</v>
      </c>
    </row>
    <row r="121" spans="1:17" s="197" customFormat="1" ht="21" customHeight="1">
      <c r="A121" s="208">
        <v>410800</v>
      </c>
      <c r="B121" s="199">
        <v>0</v>
      </c>
      <c r="C121" s="199">
        <v>0</v>
      </c>
      <c r="D121" s="199">
        <v>0</v>
      </c>
      <c r="E121" s="199">
        <v>0</v>
      </c>
      <c r="F121" s="199">
        <v>0</v>
      </c>
      <c r="G121" s="199">
        <v>2500</v>
      </c>
      <c r="H121" s="199">
        <v>0</v>
      </c>
      <c r="I121" s="199">
        <v>0</v>
      </c>
      <c r="J121" s="199">
        <v>0</v>
      </c>
      <c r="K121" s="199">
        <f>47500-47500</f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200">
        <f t="shared" si="14"/>
        <v>2500</v>
      </c>
    </row>
    <row r="122" spans="1:17" s="197" customFormat="1" ht="21" customHeight="1">
      <c r="A122" s="208">
        <v>410900</v>
      </c>
      <c r="B122" s="199">
        <v>0</v>
      </c>
      <c r="C122" s="199">
        <v>0</v>
      </c>
      <c r="D122" s="199">
        <v>0</v>
      </c>
      <c r="E122" s="199">
        <v>0</v>
      </c>
      <c r="F122" s="199">
        <v>0</v>
      </c>
      <c r="G122" s="199">
        <v>0</v>
      </c>
      <c r="H122" s="199">
        <v>0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200">
        <f t="shared" si="14"/>
        <v>0</v>
      </c>
    </row>
    <row r="123" spans="1:17" s="197" customFormat="1" ht="21" customHeight="1">
      <c r="A123" s="208">
        <v>411700</v>
      </c>
      <c r="B123" s="199">
        <v>0</v>
      </c>
      <c r="C123" s="199">
        <f>27000-27000</f>
        <v>0</v>
      </c>
      <c r="D123" s="199">
        <v>0</v>
      </c>
      <c r="E123" s="199">
        <v>0</v>
      </c>
      <c r="F123" s="199">
        <v>0</v>
      </c>
      <c r="G123" s="199">
        <v>0</v>
      </c>
      <c r="H123" s="199">
        <v>0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  <c r="Q123" s="200">
        <f t="shared" si="14"/>
        <v>0</v>
      </c>
    </row>
    <row r="124" spans="1:17" ht="18.75">
      <c r="A124" s="74" t="s">
        <v>19</v>
      </c>
      <c r="B124" s="76">
        <f aca="true" t="shared" si="15" ref="B124:O124">SUM(B118:B123)</f>
        <v>19200</v>
      </c>
      <c r="C124" s="76">
        <f t="shared" si="15"/>
        <v>0</v>
      </c>
      <c r="D124" s="76">
        <f t="shared" si="15"/>
        <v>0</v>
      </c>
      <c r="E124" s="76">
        <f t="shared" si="15"/>
        <v>0</v>
      </c>
      <c r="F124" s="76">
        <f t="shared" si="15"/>
        <v>0</v>
      </c>
      <c r="G124" s="76">
        <f t="shared" si="15"/>
        <v>2500</v>
      </c>
      <c r="H124" s="76">
        <f t="shared" si="15"/>
        <v>0</v>
      </c>
      <c r="I124" s="76">
        <f t="shared" si="15"/>
        <v>0</v>
      </c>
      <c r="J124" s="76">
        <f t="shared" si="15"/>
        <v>0</v>
      </c>
      <c r="K124" s="76">
        <f t="shared" si="15"/>
        <v>0</v>
      </c>
      <c r="L124" s="76">
        <f t="shared" si="15"/>
        <v>0</v>
      </c>
      <c r="M124" s="76">
        <f t="shared" si="15"/>
        <v>0</v>
      </c>
      <c r="N124" s="76">
        <f t="shared" si="15"/>
        <v>0</v>
      </c>
      <c r="O124" s="76">
        <f t="shared" si="15"/>
        <v>0</v>
      </c>
      <c r="P124" s="76">
        <f>SUM(P118:P123)</f>
        <v>0</v>
      </c>
      <c r="Q124" s="200">
        <f t="shared" si="14"/>
        <v>21700</v>
      </c>
    </row>
    <row r="125" spans="1:17" s="85" customFormat="1" ht="18.75">
      <c r="A125" s="80" t="s">
        <v>20</v>
      </c>
      <c r="B125" s="83">
        <v>19200</v>
      </c>
      <c r="C125" s="83">
        <v>0</v>
      </c>
      <c r="D125" s="83">
        <v>0</v>
      </c>
      <c r="E125" s="83">
        <f>0</f>
        <v>0</v>
      </c>
      <c r="F125" s="83">
        <v>0</v>
      </c>
      <c r="G125" s="83">
        <v>2500</v>
      </c>
      <c r="H125" s="83">
        <f>0</f>
        <v>0</v>
      </c>
      <c r="I125" s="83">
        <v>0</v>
      </c>
      <c r="J125" s="83">
        <f>0</f>
        <v>0</v>
      </c>
      <c r="K125" s="83">
        <v>6000</v>
      </c>
      <c r="L125" s="83">
        <f>0</f>
        <v>0</v>
      </c>
      <c r="M125" s="83">
        <f>0</f>
        <v>0</v>
      </c>
      <c r="N125" s="83">
        <v>0</v>
      </c>
      <c r="O125" s="83">
        <v>0</v>
      </c>
      <c r="P125" s="83">
        <f>0</f>
        <v>0</v>
      </c>
      <c r="Q125" s="331">
        <f t="shared" si="14"/>
        <v>27700</v>
      </c>
    </row>
    <row r="126" spans="1:17" s="197" customFormat="1" ht="21" customHeight="1">
      <c r="A126" s="205">
        <v>542000</v>
      </c>
      <c r="B126" s="207"/>
      <c r="C126" s="206"/>
      <c r="D126" s="206"/>
      <c r="E126" s="207"/>
      <c r="F126" s="200"/>
      <c r="G126" s="206"/>
      <c r="H126" s="206"/>
      <c r="I126" s="206"/>
      <c r="J126" s="203"/>
      <c r="K126" s="200"/>
      <c r="L126" s="206"/>
      <c r="M126" s="206"/>
      <c r="N126" s="200"/>
      <c r="O126" s="206"/>
      <c r="P126" s="203"/>
      <c r="Q126" s="200"/>
    </row>
    <row r="127" spans="1:17" s="197" customFormat="1" ht="18.75">
      <c r="A127" s="202">
        <v>420700</v>
      </c>
      <c r="B127" s="203">
        <v>0</v>
      </c>
      <c r="C127" s="203">
        <v>0</v>
      </c>
      <c r="D127" s="203">
        <v>0</v>
      </c>
      <c r="E127" s="203">
        <v>0</v>
      </c>
      <c r="F127" s="203">
        <v>0</v>
      </c>
      <c r="G127" s="203">
        <v>0</v>
      </c>
      <c r="H127" s="203">
        <v>0</v>
      </c>
      <c r="I127" s="203">
        <v>0</v>
      </c>
      <c r="J127" s="203">
        <v>0</v>
      </c>
      <c r="K127" s="203">
        <v>0</v>
      </c>
      <c r="L127" s="228">
        <v>0</v>
      </c>
      <c r="M127" s="203">
        <v>0</v>
      </c>
      <c r="N127" s="203">
        <v>0</v>
      </c>
      <c r="O127" s="203">
        <v>0</v>
      </c>
      <c r="P127" s="203">
        <v>0</v>
      </c>
      <c r="Q127" s="200">
        <f>SUM(B127:P127)</f>
        <v>0</v>
      </c>
    </row>
    <row r="128" spans="1:17" s="197" customFormat="1" ht="18.75">
      <c r="A128" s="202">
        <v>420900</v>
      </c>
      <c r="B128" s="203">
        <v>0</v>
      </c>
      <c r="C128" s="203">
        <v>0</v>
      </c>
      <c r="D128" s="203">
        <v>0</v>
      </c>
      <c r="E128" s="203">
        <v>0</v>
      </c>
      <c r="F128" s="203">
        <v>0</v>
      </c>
      <c r="G128" s="203">
        <v>0</v>
      </c>
      <c r="H128" s="203">
        <v>0</v>
      </c>
      <c r="I128" s="203">
        <v>0</v>
      </c>
      <c r="J128" s="203">
        <v>0</v>
      </c>
      <c r="K128" s="203">
        <v>0</v>
      </c>
      <c r="L128" s="203">
        <v>0</v>
      </c>
      <c r="M128" s="203">
        <v>0</v>
      </c>
      <c r="N128" s="203">
        <v>0</v>
      </c>
      <c r="O128" s="203">
        <v>0</v>
      </c>
      <c r="P128" s="203">
        <v>0</v>
      </c>
      <c r="Q128" s="200">
        <f>SUM(B128:P128)</f>
        <v>0</v>
      </c>
    </row>
    <row r="129" spans="1:17" s="197" customFormat="1" ht="18.75">
      <c r="A129" s="202">
        <v>421000</v>
      </c>
      <c r="B129" s="203">
        <v>0</v>
      </c>
      <c r="C129" s="203">
        <v>0</v>
      </c>
      <c r="D129" s="203">
        <v>0</v>
      </c>
      <c r="E129" s="203">
        <v>0</v>
      </c>
      <c r="F129" s="203">
        <v>0</v>
      </c>
      <c r="G129" s="203">
        <v>0</v>
      </c>
      <c r="H129" s="203">
        <v>0</v>
      </c>
      <c r="I129" s="203">
        <v>0</v>
      </c>
      <c r="J129" s="203">
        <v>0</v>
      </c>
      <c r="K129" s="203">
        <v>0</v>
      </c>
      <c r="L129" s="228">
        <v>0</v>
      </c>
      <c r="M129" s="203">
        <v>0</v>
      </c>
      <c r="N129" s="203">
        <v>0</v>
      </c>
      <c r="O129" s="203">
        <v>0</v>
      </c>
      <c r="P129" s="203">
        <v>0</v>
      </c>
      <c r="Q129" s="200">
        <f>SUM(B129:P129)</f>
        <v>0</v>
      </c>
    </row>
    <row r="130" spans="1:17" ht="18.75">
      <c r="A130" s="74" t="s">
        <v>19</v>
      </c>
      <c r="B130" s="76">
        <f aca="true" t="shared" si="16" ref="B130:O130">SUM(B127:B129)</f>
        <v>0</v>
      </c>
      <c r="C130" s="76">
        <f t="shared" si="16"/>
        <v>0</v>
      </c>
      <c r="D130" s="76">
        <f t="shared" si="16"/>
        <v>0</v>
      </c>
      <c r="E130" s="76">
        <f t="shared" si="16"/>
        <v>0</v>
      </c>
      <c r="F130" s="76">
        <f t="shared" si="16"/>
        <v>0</v>
      </c>
      <c r="G130" s="76">
        <f t="shared" si="16"/>
        <v>0</v>
      </c>
      <c r="H130" s="76">
        <f t="shared" si="16"/>
        <v>0</v>
      </c>
      <c r="I130" s="76">
        <f t="shared" si="16"/>
        <v>0</v>
      </c>
      <c r="J130" s="76">
        <f t="shared" si="16"/>
        <v>0</v>
      </c>
      <c r="K130" s="76">
        <f t="shared" si="16"/>
        <v>0</v>
      </c>
      <c r="L130" s="76">
        <f t="shared" si="16"/>
        <v>0</v>
      </c>
      <c r="M130" s="76">
        <f t="shared" si="16"/>
        <v>0</v>
      </c>
      <c r="N130" s="76">
        <f t="shared" si="16"/>
        <v>0</v>
      </c>
      <c r="O130" s="76">
        <f t="shared" si="16"/>
        <v>0</v>
      </c>
      <c r="P130" s="76">
        <f>SUM(P127:P129)</f>
        <v>0</v>
      </c>
      <c r="Q130" s="200">
        <f>SUM(B130:P130)</f>
        <v>0</v>
      </c>
    </row>
    <row r="131" spans="1:17" s="85" customFormat="1" ht="18.75">
      <c r="A131" s="80" t="s">
        <v>20</v>
      </c>
      <c r="B131" s="83">
        <v>0</v>
      </c>
      <c r="C131" s="83">
        <f>0</f>
        <v>0</v>
      </c>
      <c r="D131" s="83">
        <f>0</f>
        <v>0</v>
      </c>
      <c r="E131" s="83">
        <f>0</f>
        <v>0</v>
      </c>
      <c r="F131" s="83">
        <f>0</f>
        <v>0</v>
      </c>
      <c r="G131" s="83">
        <f>0</f>
        <v>0</v>
      </c>
      <c r="H131" s="83">
        <f>0</f>
        <v>0</v>
      </c>
      <c r="I131" s="83">
        <v>0</v>
      </c>
      <c r="J131" s="83">
        <v>0</v>
      </c>
      <c r="K131" s="83">
        <f>0</f>
        <v>0</v>
      </c>
      <c r="L131" s="83">
        <f>0</f>
        <v>0</v>
      </c>
      <c r="M131" s="83">
        <f>0</f>
        <v>0</v>
      </c>
      <c r="N131" s="83">
        <v>0</v>
      </c>
      <c r="O131" s="83">
        <f>0</f>
        <v>0</v>
      </c>
      <c r="P131" s="83">
        <f>0</f>
        <v>0</v>
      </c>
      <c r="Q131" s="331">
        <f>SUM(B131:P131)</f>
        <v>0</v>
      </c>
    </row>
    <row r="132" spans="1:17" s="197" customFormat="1" ht="21" customHeight="1">
      <c r="A132" s="205">
        <v>551000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0"/>
    </row>
    <row r="133" spans="1:17" s="197" customFormat="1" ht="21" customHeight="1">
      <c r="A133" s="208">
        <v>510100</v>
      </c>
      <c r="B133" s="199">
        <v>0</v>
      </c>
      <c r="C133" s="199">
        <v>0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199">
        <v>0</v>
      </c>
      <c r="J133" s="199">
        <v>0</v>
      </c>
      <c r="K133" s="199">
        <v>3750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200">
        <f>SUM(B133:P133)</f>
        <v>3750</v>
      </c>
    </row>
    <row r="134" spans="1:17" ht="18.75">
      <c r="A134" s="74" t="s">
        <v>19</v>
      </c>
      <c r="B134" s="75">
        <f aca="true" t="shared" si="17" ref="B134:P134">SUM(B133)</f>
        <v>0</v>
      </c>
      <c r="C134" s="75">
        <f t="shared" si="17"/>
        <v>0</v>
      </c>
      <c r="D134" s="75">
        <f t="shared" si="17"/>
        <v>0</v>
      </c>
      <c r="E134" s="75">
        <f t="shared" si="17"/>
        <v>0</v>
      </c>
      <c r="F134" s="75">
        <f t="shared" si="17"/>
        <v>0</v>
      </c>
      <c r="G134" s="75">
        <f t="shared" si="17"/>
        <v>0</v>
      </c>
      <c r="H134" s="75">
        <f t="shared" si="17"/>
        <v>0</v>
      </c>
      <c r="I134" s="75">
        <f t="shared" si="17"/>
        <v>0</v>
      </c>
      <c r="J134" s="75">
        <f t="shared" si="17"/>
        <v>0</v>
      </c>
      <c r="K134" s="75">
        <f t="shared" si="17"/>
        <v>3750</v>
      </c>
      <c r="L134" s="75">
        <f t="shared" si="17"/>
        <v>0</v>
      </c>
      <c r="M134" s="75">
        <f t="shared" si="17"/>
        <v>0</v>
      </c>
      <c r="N134" s="75">
        <f t="shared" si="17"/>
        <v>0</v>
      </c>
      <c r="O134" s="75">
        <f t="shared" si="17"/>
        <v>0</v>
      </c>
      <c r="P134" s="75">
        <f t="shared" si="17"/>
        <v>0</v>
      </c>
      <c r="Q134" s="200">
        <f>SUM(B134:P134)</f>
        <v>3750</v>
      </c>
    </row>
    <row r="135" spans="1:17" s="85" customFormat="1" ht="18.75">
      <c r="A135" s="80" t="s">
        <v>20</v>
      </c>
      <c r="B135" s="83">
        <v>0</v>
      </c>
      <c r="C135" s="83">
        <f>0</f>
        <v>0</v>
      </c>
      <c r="D135" s="83">
        <v>0</v>
      </c>
      <c r="E135" s="83">
        <v>0</v>
      </c>
      <c r="F135" s="83">
        <v>318500</v>
      </c>
      <c r="G135" s="83">
        <v>0</v>
      </c>
      <c r="H135" s="83">
        <v>0</v>
      </c>
      <c r="I135" s="83">
        <f>0</f>
        <v>0</v>
      </c>
      <c r="J135" s="83">
        <f>0</f>
        <v>0</v>
      </c>
      <c r="K135" s="83">
        <f>19995+3750</f>
        <v>23745</v>
      </c>
      <c r="L135" s="83">
        <f>0</f>
        <v>0</v>
      </c>
      <c r="M135" s="83">
        <v>0</v>
      </c>
      <c r="N135" s="83">
        <v>0</v>
      </c>
      <c r="O135" s="83">
        <v>0</v>
      </c>
      <c r="P135" s="83">
        <f>0</f>
        <v>0</v>
      </c>
      <c r="Q135" s="331">
        <f>SUM(B135:P135)</f>
        <v>342245</v>
      </c>
    </row>
    <row r="136" spans="1:17" s="197" customFormat="1" ht="21" customHeight="1">
      <c r="A136" s="205">
        <v>561000</v>
      </c>
      <c r="B136" s="207"/>
      <c r="C136" s="206"/>
      <c r="D136" s="206"/>
      <c r="E136" s="207"/>
      <c r="F136" s="200"/>
      <c r="G136" s="206"/>
      <c r="H136" s="206"/>
      <c r="I136" s="206"/>
      <c r="J136" s="203"/>
      <c r="K136" s="200"/>
      <c r="L136" s="206"/>
      <c r="M136" s="206"/>
      <c r="N136" s="200"/>
      <c r="O136" s="206"/>
      <c r="P136" s="203"/>
      <c r="Q136" s="200"/>
    </row>
    <row r="137" spans="1:17" s="197" customFormat="1" ht="21" customHeight="1">
      <c r="A137" s="208">
        <v>610100</v>
      </c>
      <c r="B137" s="199">
        <v>0</v>
      </c>
      <c r="C137" s="199">
        <v>0</v>
      </c>
      <c r="D137" s="199">
        <v>0</v>
      </c>
      <c r="E137" s="199">
        <f>1025600-335000-355600-335000</f>
        <v>0</v>
      </c>
      <c r="F137" s="199">
        <v>0</v>
      </c>
      <c r="G137" s="199">
        <v>0</v>
      </c>
      <c r="H137" s="199">
        <v>0</v>
      </c>
      <c r="I137" s="199">
        <v>0</v>
      </c>
      <c r="J137" s="199">
        <v>0</v>
      </c>
      <c r="K137" s="220">
        <v>120000</v>
      </c>
      <c r="L137" s="199">
        <v>0</v>
      </c>
      <c r="M137" s="199">
        <v>5000</v>
      </c>
      <c r="N137" s="220">
        <v>0</v>
      </c>
      <c r="O137" s="199">
        <v>0</v>
      </c>
      <c r="P137" s="199">
        <f>10000-10000</f>
        <v>0</v>
      </c>
      <c r="Q137" s="200">
        <f>SUM(B137:P137)</f>
        <v>125000</v>
      </c>
    </row>
    <row r="138" spans="1:17" ht="18.75">
      <c r="A138" s="74" t="s">
        <v>19</v>
      </c>
      <c r="B138" s="75">
        <f aca="true" t="shared" si="18" ref="B138:O138">SUM(B137)</f>
        <v>0</v>
      </c>
      <c r="C138" s="75">
        <f t="shared" si="18"/>
        <v>0</v>
      </c>
      <c r="D138" s="75">
        <f t="shared" si="18"/>
        <v>0</v>
      </c>
      <c r="E138" s="75">
        <f t="shared" si="18"/>
        <v>0</v>
      </c>
      <c r="F138" s="75">
        <f t="shared" si="18"/>
        <v>0</v>
      </c>
      <c r="G138" s="75">
        <f t="shared" si="18"/>
        <v>0</v>
      </c>
      <c r="H138" s="75">
        <f t="shared" si="18"/>
        <v>0</v>
      </c>
      <c r="I138" s="75">
        <f t="shared" si="18"/>
        <v>0</v>
      </c>
      <c r="J138" s="75">
        <f t="shared" si="18"/>
        <v>0</v>
      </c>
      <c r="K138" s="75">
        <f t="shared" si="18"/>
        <v>120000</v>
      </c>
      <c r="L138" s="75">
        <f t="shared" si="18"/>
        <v>0</v>
      </c>
      <c r="M138" s="75">
        <f t="shared" si="18"/>
        <v>5000</v>
      </c>
      <c r="N138" s="75">
        <f t="shared" si="18"/>
        <v>0</v>
      </c>
      <c r="O138" s="75">
        <f t="shared" si="18"/>
        <v>0</v>
      </c>
      <c r="P138" s="75">
        <f>SUM(P137)</f>
        <v>0</v>
      </c>
      <c r="Q138" s="200">
        <f>SUM(B138:P138)</f>
        <v>125000</v>
      </c>
    </row>
    <row r="139" spans="1:17" s="85" customFormat="1" ht="18.75">
      <c r="A139" s="80" t="s">
        <v>20</v>
      </c>
      <c r="B139" s="83">
        <v>0</v>
      </c>
      <c r="C139" s="83">
        <f>0</f>
        <v>0</v>
      </c>
      <c r="D139" s="83">
        <v>0</v>
      </c>
      <c r="E139" s="83">
        <v>0</v>
      </c>
      <c r="F139" s="83">
        <v>314000</v>
      </c>
      <c r="G139" s="83">
        <v>0</v>
      </c>
      <c r="H139" s="83">
        <v>0</v>
      </c>
      <c r="I139" s="83">
        <f>0</f>
        <v>0</v>
      </c>
      <c r="J139" s="83">
        <f>0</f>
        <v>0</v>
      </c>
      <c r="K139" s="83">
        <v>120000</v>
      </c>
      <c r="L139" s="83">
        <f>0</f>
        <v>0</v>
      </c>
      <c r="M139" s="83">
        <v>5000</v>
      </c>
      <c r="N139" s="83">
        <v>0</v>
      </c>
      <c r="O139" s="83">
        <v>0</v>
      </c>
      <c r="P139" s="83">
        <f>0</f>
        <v>0</v>
      </c>
      <c r="Q139" s="331">
        <f>SUM(B139:P139)</f>
        <v>439000</v>
      </c>
    </row>
    <row r="140" spans="1:17" ht="18.75">
      <c r="A140" s="74" t="s">
        <v>73</v>
      </c>
      <c r="B140" s="76">
        <f aca="true" t="shared" si="19" ref="B140:O140">B14+B22+B29+B48+B56+B92+B99+B124+B130+B134+B138</f>
        <v>338628</v>
      </c>
      <c r="C140" s="76">
        <f t="shared" si="19"/>
        <v>68970</v>
      </c>
      <c r="D140" s="76">
        <f t="shared" si="19"/>
        <v>10700</v>
      </c>
      <c r="E140" s="76">
        <f t="shared" si="19"/>
        <v>0</v>
      </c>
      <c r="F140" s="76">
        <f aca="true" t="shared" si="20" ref="F140:H141">F14+F22+F29+F48+F56+F92+F99+F124+F130+F134+F138</f>
        <v>16860</v>
      </c>
      <c r="G140" s="76">
        <f t="shared" si="20"/>
        <v>8200</v>
      </c>
      <c r="H140" s="76">
        <f t="shared" si="20"/>
        <v>0</v>
      </c>
      <c r="I140" s="76">
        <f t="shared" si="19"/>
        <v>123691</v>
      </c>
      <c r="J140" s="76">
        <f t="shared" si="19"/>
        <v>0</v>
      </c>
      <c r="K140" s="76">
        <f>K14+K22+K29+K48+K56+K92+K99+K124+K130+K134+K138</f>
        <v>123750</v>
      </c>
      <c r="L140" s="76">
        <f t="shared" si="19"/>
        <v>0</v>
      </c>
      <c r="M140" s="76">
        <f t="shared" si="19"/>
        <v>5000</v>
      </c>
      <c r="N140" s="76">
        <f t="shared" si="19"/>
        <v>16420</v>
      </c>
      <c r="O140" s="76">
        <f t="shared" si="19"/>
        <v>43565.42</v>
      </c>
      <c r="P140" s="76">
        <f>P14+P22+P29+P48+P56+P92+P99+P124+P130+P134+P138</f>
        <v>138178</v>
      </c>
      <c r="Q140" s="76">
        <f>SUM(B140:P140)</f>
        <v>893962.42</v>
      </c>
    </row>
    <row r="141" spans="1:19" s="85" customFormat="1" ht="18.75">
      <c r="A141" s="80" t="s">
        <v>74</v>
      </c>
      <c r="B141" s="84">
        <f aca="true" t="shared" si="21" ref="B141:O141">B15+B23+B30+B49+B57+B93+B100+B125+B131+B135+B139</f>
        <v>1637016.73</v>
      </c>
      <c r="C141" s="84">
        <f t="shared" si="21"/>
        <v>355215</v>
      </c>
      <c r="D141" s="84">
        <f t="shared" si="21"/>
        <v>27400</v>
      </c>
      <c r="E141" s="84">
        <f t="shared" si="21"/>
        <v>0</v>
      </c>
      <c r="F141" s="84">
        <f t="shared" si="20"/>
        <v>716360</v>
      </c>
      <c r="G141" s="84">
        <f t="shared" si="20"/>
        <v>25300</v>
      </c>
      <c r="H141" s="84">
        <f t="shared" si="20"/>
        <v>0</v>
      </c>
      <c r="I141" s="84">
        <f t="shared" si="21"/>
        <v>432798</v>
      </c>
      <c r="J141" s="84">
        <f t="shared" si="21"/>
        <v>0</v>
      </c>
      <c r="K141" s="84">
        <f>K15+K23+K30+K49+K57+K93+K100+K125+K131+K135+K139</f>
        <v>170795</v>
      </c>
      <c r="L141" s="84">
        <f t="shared" si="21"/>
        <v>0</v>
      </c>
      <c r="M141" s="84">
        <f t="shared" si="21"/>
        <v>5000</v>
      </c>
      <c r="N141" s="84">
        <f t="shared" si="21"/>
        <v>21670</v>
      </c>
      <c r="O141" s="84">
        <f t="shared" si="21"/>
        <v>95426.48999999999</v>
      </c>
      <c r="P141" s="84">
        <f>P15+P23+P30+P49+P57+P93+P100+P125+P131+P135+P139</f>
        <v>895860.79</v>
      </c>
      <c r="Q141" s="84">
        <f>SUM(B141:P141)</f>
        <v>4382842.01</v>
      </c>
      <c r="S141" s="227"/>
    </row>
    <row r="142" spans="1:17" s="85" customFormat="1" ht="17.25" customHeight="1">
      <c r="A142" s="81"/>
      <c r="B142" s="89"/>
      <c r="C142" s="414" t="s">
        <v>7</v>
      </c>
      <c r="D142" s="414"/>
      <c r="E142" s="414"/>
      <c r="F142" s="93"/>
      <c r="G142" s="93"/>
      <c r="H142" s="308"/>
      <c r="I142" s="414" t="s">
        <v>101</v>
      </c>
      <c r="J142" s="414"/>
      <c r="K142" s="414"/>
      <c r="L142" s="89"/>
      <c r="M142" s="89"/>
      <c r="N142" s="89"/>
      <c r="O142" s="89"/>
      <c r="P142" s="89"/>
      <c r="Q142" s="90"/>
    </row>
    <row r="143" spans="1:17" s="85" customFormat="1" ht="18.75">
      <c r="A143" s="81"/>
      <c r="B143" s="86"/>
      <c r="C143" s="93"/>
      <c r="D143" s="93"/>
      <c r="E143" s="93"/>
      <c r="F143" s="93"/>
      <c r="G143" s="93"/>
      <c r="H143" s="86"/>
      <c r="I143" s="93"/>
      <c r="J143" s="93"/>
      <c r="K143" s="93"/>
      <c r="L143" s="86"/>
      <c r="M143" s="86"/>
      <c r="N143" s="86"/>
      <c r="O143" s="86"/>
      <c r="P143" s="86"/>
      <c r="Q143" s="91"/>
    </row>
    <row r="144" spans="1:17" s="85" customFormat="1" ht="18.75">
      <c r="A144" s="81"/>
      <c r="B144" s="86"/>
      <c r="C144" s="414" t="s">
        <v>119</v>
      </c>
      <c r="D144" s="414"/>
      <c r="E144" s="414"/>
      <c r="F144" s="93"/>
      <c r="G144" s="93"/>
      <c r="H144" s="93"/>
      <c r="I144" s="414" t="s">
        <v>246</v>
      </c>
      <c r="J144" s="414"/>
      <c r="K144" s="414"/>
      <c r="L144" s="86"/>
      <c r="M144" s="86"/>
      <c r="N144" s="86"/>
      <c r="O144" s="86"/>
      <c r="P144" s="86"/>
      <c r="Q144" s="91"/>
    </row>
    <row r="145" spans="1:17" s="85" customFormat="1" ht="18.75">
      <c r="A145" s="81"/>
      <c r="B145" s="86"/>
      <c r="C145" s="414" t="s">
        <v>111</v>
      </c>
      <c r="D145" s="414"/>
      <c r="E145" s="414"/>
      <c r="F145" s="93"/>
      <c r="G145" s="93"/>
      <c r="H145" s="93"/>
      <c r="I145" s="414" t="s">
        <v>100</v>
      </c>
      <c r="J145" s="414"/>
      <c r="K145" s="414"/>
      <c r="L145" s="86"/>
      <c r="M145" s="86"/>
      <c r="N145" s="86"/>
      <c r="O145" s="86"/>
      <c r="P145" s="86"/>
      <c r="Q145" s="91"/>
    </row>
  </sheetData>
  <mergeCells count="47">
    <mergeCell ref="A1:Q1"/>
    <mergeCell ref="A2:Q2"/>
    <mergeCell ref="A3:Q3"/>
    <mergeCell ref="A37:Q37"/>
    <mergeCell ref="I4:J4"/>
    <mergeCell ref="L4:M4"/>
    <mergeCell ref="C34:E34"/>
    <mergeCell ref="C35:E35"/>
    <mergeCell ref="C31:E31"/>
    <mergeCell ref="B4:C4"/>
    <mergeCell ref="D4:E4"/>
    <mergeCell ref="L38:M38"/>
    <mergeCell ref="I38:J38"/>
    <mergeCell ref="D38:E38"/>
    <mergeCell ref="B38:C38"/>
    <mergeCell ref="I31:K31"/>
    <mergeCell ref="I34:K34"/>
    <mergeCell ref="I35:K35"/>
    <mergeCell ref="C105:E105"/>
    <mergeCell ref="C59:E59"/>
    <mergeCell ref="C63:E63"/>
    <mergeCell ref="L76:M76"/>
    <mergeCell ref="C104:E104"/>
    <mergeCell ref="A75:Q75"/>
    <mergeCell ref="C64:E64"/>
    <mergeCell ref="C101:E101"/>
    <mergeCell ref="D76:E76"/>
    <mergeCell ref="B76:C76"/>
    <mergeCell ref="B115:C115"/>
    <mergeCell ref="D115:E115"/>
    <mergeCell ref="I115:J115"/>
    <mergeCell ref="L115:M115"/>
    <mergeCell ref="I59:K59"/>
    <mergeCell ref="I62:K62"/>
    <mergeCell ref="I63:K63"/>
    <mergeCell ref="I101:K101"/>
    <mergeCell ref="I76:J76"/>
    <mergeCell ref="I145:K145"/>
    <mergeCell ref="C62:E62"/>
    <mergeCell ref="I104:K104"/>
    <mergeCell ref="I105:K105"/>
    <mergeCell ref="I142:K142"/>
    <mergeCell ref="I144:K144"/>
    <mergeCell ref="C145:E145"/>
    <mergeCell ref="C142:E142"/>
    <mergeCell ref="C144:E144"/>
    <mergeCell ref="A114:Q114"/>
  </mergeCells>
  <printOptions/>
  <pageMargins left="0.5511811023622047" right="0.15748031496062992" top="0.1968503937007874" bottom="0" header="0.5118110236220472" footer="0.5118110236220472"/>
  <pageSetup horizontalDpi="180" verticalDpi="18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SheetLayoutView="100" workbookViewId="0" topLeftCell="A13">
      <selection activeCell="C26" sqref="C26"/>
    </sheetView>
  </sheetViews>
  <sheetFormatPr defaultColWidth="9.140625" defaultRowHeight="21.75"/>
  <cols>
    <col min="1" max="1" width="21.421875" style="177" customWidth="1"/>
    <col min="2" max="3" width="11.140625" style="177" bestFit="1" customWidth="1"/>
    <col min="4" max="5" width="9.8515625" style="177" bestFit="1" customWidth="1"/>
    <col min="6" max="6" width="11.140625" style="177" bestFit="1" customWidth="1"/>
    <col min="7" max="7" width="9.8515625" style="177" bestFit="1" customWidth="1"/>
    <col min="8" max="9" width="11.140625" style="177" bestFit="1" customWidth="1"/>
    <col min="10" max="10" width="13.57421875" style="177" bestFit="1" customWidth="1"/>
    <col min="11" max="12" width="9.8515625" style="177" bestFit="1" customWidth="1"/>
    <col min="13" max="13" width="10.00390625" style="177" bestFit="1" customWidth="1"/>
    <col min="14" max="15" width="9.8515625" style="177" bestFit="1" customWidth="1"/>
    <col min="16" max="16" width="11.140625" style="177" bestFit="1" customWidth="1"/>
    <col min="17" max="17" width="12.00390625" style="177" bestFit="1" customWidth="1"/>
    <col min="18" max="16384" width="9.140625" style="177" customWidth="1"/>
  </cols>
  <sheetData>
    <row r="1" spans="1:17" ht="23.25">
      <c r="A1" s="427" t="s">
        <v>14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2" spans="1:17" ht="23.25">
      <c r="A2" s="427" t="s">
        <v>103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24" thickBot="1">
      <c r="A3" s="428" t="s">
        <v>301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7" s="183" customFormat="1" ht="21" customHeight="1">
      <c r="A4" s="178" t="s">
        <v>16</v>
      </c>
      <c r="B4" s="424" t="s">
        <v>82</v>
      </c>
      <c r="C4" s="425"/>
      <c r="D4" s="424" t="s">
        <v>85</v>
      </c>
      <c r="E4" s="425"/>
      <c r="F4" s="179" t="s">
        <v>91</v>
      </c>
      <c r="G4" s="179" t="s">
        <v>92</v>
      </c>
      <c r="H4" s="180" t="s">
        <v>95</v>
      </c>
      <c r="I4" s="424" t="s">
        <v>86</v>
      </c>
      <c r="J4" s="425"/>
      <c r="K4" s="181" t="s">
        <v>96</v>
      </c>
      <c r="L4" s="424" t="s">
        <v>87</v>
      </c>
      <c r="M4" s="426"/>
      <c r="N4" s="181" t="s">
        <v>99</v>
      </c>
      <c r="O4" s="181" t="s">
        <v>115</v>
      </c>
      <c r="P4" s="179" t="s">
        <v>80</v>
      </c>
      <c r="Q4" s="182" t="s">
        <v>17</v>
      </c>
    </row>
    <row r="5" spans="1:17" s="183" customFormat="1" ht="21" customHeight="1" thickBot="1">
      <c r="A5" s="184" t="s">
        <v>18</v>
      </c>
      <c r="B5" s="186" t="s">
        <v>83</v>
      </c>
      <c r="C5" s="187" t="s">
        <v>84</v>
      </c>
      <c r="D5" s="185" t="s">
        <v>76</v>
      </c>
      <c r="E5" s="185" t="s">
        <v>77</v>
      </c>
      <c r="F5" s="186" t="s">
        <v>90</v>
      </c>
      <c r="G5" s="186" t="s">
        <v>93</v>
      </c>
      <c r="H5" s="189" t="s">
        <v>94</v>
      </c>
      <c r="I5" s="185" t="s">
        <v>78</v>
      </c>
      <c r="J5" s="185" t="s">
        <v>79</v>
      </c>
      <c r="K5" s="190" t="s">
        <v>97</v>
      </c>
      <c r="L5" s="187" t="s">
        <v>88</v>
      </c>
      <c r="M5" s="188" t="s">
        <v>89</v>
      </c>
      <c r="N5" s="190" t="s">
        <v>98</v>
      </c>
      <c r="O5" s="190" t="s">
        <v>116</v>
      </c>
      <c r="P5" s="185" t="s">
        <v>81</v>
      </c>
      <c r="Q5" s="191"/>
    </row>
    <row r="6" spans="1:17" s="197" customFormat="1" ht="21" customHeight="1">
      <c r="A6" s="192" t="s">
        <v>240</v>
      </c>
      <c r="B6" s="193"/>
      <c r="C6" s="194"/>
      <c r="D6" s="193"/>
      <c r="E6" s="193"/>
      <c r="F6" s="194"/>
      <c r="G6" s="194"/>
      <c r="H6" s="195"/>
      <c r="I6" s="193"/>
      <c r="J6" s="193"/>
      <c r="K6" s="196"/>
      <c r="L6" s="193"/>
      <c r="M6" s="195"/>
      <c r="N6" s="196"/>
      <c r="O6" s="196"/>
      <c r="P6" s="193"/>
      <c r="Q6" s="196"/>
    </row>
    <row r="7" spans="1:17" s="197" customFormat="1" ht="21" customHeight="1">
      <c r="A7" s="198" t="s">
        <v>153</v>
      </c>
      <c r="B7" s="200">
        <v>0</v>
      </c>
      <c r="C7" s="201">
        <v>0</v>
      </c>
      <c r="D7" s="200">
        <v>0</v>
      </c>
      <c r="E7" s="200">
        <v>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0">
        <v>0</v>
      </c>
      <c r="P7" s="199">
        <f>165660-20013-12678</f>
        <v>132969</v>
      </c>
      <c r="Q7" s="200">
        <f>SUM(B7:P7)</f>
        <v>132969</v>
      </c>
    </row>
    <row r="8" spans="1:17" s="197" customFormat="1" ht="21" customHeight="1">
      <c r="A8" s="198" t="s">
        <v>234</v>
      </c>
      <c r="B8" s="200">
        <v>0</v>
      </c>
      <c r="C8" s="201">
        <v>0</v>
      </c>
      <c r="D8" s="200">
        <v>0</v>
      </c>
      <c r="E8" s="200">
        <v>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199">
        <f>744000-228000-58500</f>
        <v>457500</v>
      </c>
      <c r="Q8" s="200">
        <f aca="true" t="shared" si="0" ref="Q8:Q13">SUM(B8:P8)</f>
        <v>457500</v>
      </c>
    </row>
    <row r="9" spans="1:17" s="197" customFormat="1" ht="21" customHeight="1">
      <c r="A9" s="198" t="s">
        <v>235</v>
      </c>
      <c r="B9" s="200">
        <v>0</v>
      </c>
      <c r="C9" s="201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199">
        <f>162000-54000-13500</f>
        <v>94500</v>
      </c>
      <c r="Q9" s="200">
        <f t="shared" si="0"/>
        <v>94500</v>
      </c>
    </row>
    <row r="10" spans="1:17" s="197" customFormat="1" ht="21" customHeight="1">
      <c r="A10" s="198" t="s">
        <v>236</v>
      </c>
      <c r="B10" s="200">
        <v>0</v>
      </c>
      <c r="C10" s="201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199">
        <f>676217-91588.79</f>
        <v>584628.21</v>
      </c>
      <c r="Q10" s="200">
        <f t="shared" si="0"/>
        <v>584628.21</v>
      </c>
    </row>
    <row r="11" spans="1:17" s="197" customFormat="1" ht="21" customHeight="1">
      <c r="A11" s="198" t="s">
        <v>237</v>
      </c>
      <c r="B11" s="200">
        <v>0</v>
      </c>
      <c r="C11" s="201">
        <v>0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199">
        <f>85000+60000-60000</f>
        <v>85000</v>
      </c>
      <c r="Q11" s="200">
        <f t="shared" si="0"/>
        <v>85000</v>
      </c>
    </row>
    <row r="12" spans="1:17" s="197" customFormat="1" ht="21" customHeight="1">
      <c r="A12" s="198" t="s">
        <v>238</v>
      </c>
      <c r="B12" s="200">
        <v>0</v>
      </c>
      <c r="C12" s="201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199">
        <f>666000-216000-53500</f>
        <v>396500</v>
      </c>
      <c r="Q12" s="200">
        <f t="shared" si="0"/>
        <v>396500</v>
      </c>
    </row>
    <row r="13" spans="1:17" s="197" customFormat="1" ht="21" customHeight="1">
      <c r="A13" s="198" t="s">
        <v>239</v>
      </c>
      <c r="B13" s="200">
        <v>0</v>
      </c>
      <c r="C13" s="201">
        <v>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199">
        <f>88081-88081</f>
        <v>0</v>
      </c>
      <c r="Q13" s="200">
        <f t="shared" si="0"/>
        <v>0</v>
      </c>
    </row>
    <row r="14" spans="1:17" s="204" customFormat="1" ht="21" customHeight="1">
      <c r="A14" s="202" t="s">
        <v>19</v>
      </c>
      <c r="B14" s="203">
        <f aca="true" t="shared" si="1" ref="B14:P14">SUM(B7:B13)</f>
        <v>0</v>
      </c>
      <c r="C14" s="203">
        <f t="shared" si="1"/>
        <v>0</v>
      </c>
      <c r="D14" s="203">
        <f t="shared" si="1"/>
        <v>0</v>
      </c>
      <c r="E14" s="203">
        <f t="shared" si="1"/>
        <v>0</v>
      </c>
      <c r="F14" s="203">
        <f t="shared" si="1"/>
        <v>0</v>
      </c>
      <c r="G14" s="203">
        <f t="shared" si="1"/>
        <v>0</v>
      </c>
      <c r="H14" s="203">
        <f t="shared" si="1"/>
        <v>0</v>
      </c>
      <c r="I14" s="203">
        <f t="shared" si="1"/>
        <v>0</v>
      </c>
      <c r="J14" s="203">
        <f t="shared" si="1"/>
        <v>0</v>
      </c>
      <c r="K14" s="203">
        <f t="shared" si="1"/>
        <v>0</v>
      </c>
      <c r="L14" s="203">
        <f t="shared" si="1"/>
        <v>0</v>
      </c>
      <c r="M14" s="203">
        <f t="shared" si="1"/>
        <v>0</v>
      </c>
      <c r="N14" s="203">
        <f t="shared" si="1"/>
        <v>0</v>
      </c>
      <c r="O14" s="203">
        <f t="shared" si="1"/>
        <v>0</v>
      </c>
      <c r="P14" s="203">
        <f t="shared" si="1"/>
        <v>1751097.21</v>
      </c>
      <c r="Q14" s="200">
        <f>SUM(B14:P14)</f>
        <v>1751097.21</v>
      </c>
    </row>
    <row r="15" spans="1:17" s="197" customFormat="1" ht="21" customHeight="1">
      <c r="A15" s="205">
        <v>521000</v>
      </c>
      <c r="B15" s="206"/>
      <c r="C15" s="207"/>
      <c r="D15" s="206"/>
      <c r="E15" s="206"/>
      <c r="F15" s="207"/>
      <c r="G15" s="207"/>
      <c r="H15" s="206"/>
      <c r="I15" s="206"/>
      <c r="J15" s="206"/>
      <c r="K15" s="200"/>
      <c r="L15" s="206"/>
      <c r="M15" s="206"/>
      <c r="N15" s="200"/>
      <c r="O15" s="200"/>
      <c r="P15" s="203"/>
      <c r="Q15" s="200"/>
    </row>
    <row r="16" spans="1:17" s="197" customFormat="1" ht="21" customHeight="1">
      <c r="A16" s="208">
        <v>210100</v>
      </c>
      <c r="B16" s="199">
        <f>206400-17200-17200-17200-17200-17200</f>
        <v>120400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200">
        <f aca="true" t="shared" si="2" ref="Q16:Q21">SUM(B16:P16)</f>
        <v>120400</v>
      </c>
    </row>
    <row r="17" spans="1:17" s="197" customFormat="1" ht="21" customHeight="1">
      <c r="A17" s="208">
        <v>210200</v>
      </c>
      <c r="B17" s="199">
        <f>38400-3200-3200-3200-3200-3200</f>
        <v>22400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200">
        <f t="shared" si="2"/>
        <v>22400</v>
      </c>
    </row>
    <row r="18" spans="1:17" s="197" customFormat="1" ht="21" customHeight="1">
      <c r="A18" s="208">
        <v>210300</v>
      </c>
      <c r="B18" s="199">
        <f>38400-3200-3200-3200-3200-3200</f>
        <v>22400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200">
        <f t="shared" si="2"/>
        <v>22400</v>
      </c>
    </row>
    <row r="19" spans="1:17" s="197" customFormat="1" ht="21" customHeight="1">
      <c r="A19" s="208">
        <v>210400</v>
      </c>
      <c r="B19" s="199">
        <f>68400-4440</f>
        <v>63960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200">
        <f t="shared" si="2"/>
        <v>63960</v>
      </c>
    </row>
    <row r="20" spans="1:17" s="197" customFormat="1" ht="21" customHeight="1">
      <c r="A20" s="208">
        <v>210600</v>
      </c>
      <c r="B20" s="199">
        <f>1063800-88650-88650-88650-83750-83750</f>
        <v>630350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200">
        <f t="shared" si="2"/>
        <v>630350</v>
      </c>
    </row>
    <row r="21" spans="1:17" s="197" customFormat="1" ht="21" customHeight="1">
      <c r="A21" s="202" t="s">
        <v>19</v>
      </c>
      <c r="B21" s="203">
        <f aca="true" t="shared" si="3" ref="B21:P21">SUM(B16:B20)</f>
        <v>859510</v>
      </c>
      <c r="C21" s="203">
        <f t="shared" si="3"/>
        <v>0</v>
      </c>
      <c r="D21" s="203">
        <f t="shared" si="3"/>
        <v>0</v>
      </c>
      <c r="E21" s="203">
        <f t="shared" si="3"/>
        <v>0</v>
      </c>
      <c r="F21" s="203">
        <f t="shared" si="3"/>
        <v>0</v>
      </c>
      <c r="G21" s="203">
        <f t="shared" si="3"/>
        <v>0</v>
      </c>
      <c r="H21" s="203">
        <f t="shared" si="3"/>
        <v>0</v>
      </c>
      <c r="I21" s="203">
        <f t="shared" si="3"/>
        <v>0</v>
      </c>
      <c r="J21" s="203">
        <f t="shared" si="3"/>
        <v>0</v>
      </c>
      <c r="K21" s="203">
        <f t="shared" si="3"/>
        <v>0</v>
      </c>
      <c r="L21" s="203">
        <f t="shared" si="3"/>
        <v>0</v>
      </c>
      <c r="M21" s="203">
        <f t="shared" si="3"/>
        <v>0</v>
      </c>
      <c r="N21" s="203">
        <f t="shared" si="3"/>
        <v>0</v>
      </c>
      <c r="O21" s="203">
        <f t="shared" si="3"/>
        <v>0</v>
      </c>
      <c r="P21" s="203">
        <f t="shared" si="3"/>
        <v>0</v>
      </c>
      <c r="Q21" s="200">
        <f t="shared" si="2"/>
        <v>859510</v>
      </c>
    </row>
    <row r="22" spans="1:17" s="197" customFormat="1" ht="21" customHeight="1">
      <c r="A22" s="205">
        <v>522000</v>
      </c>
      <c r="B22" s="206"/>
      <c r="C22" s="207"/>
      <c r="D22" s="206"/>
      <c r="E22" s="206"/>
      <c r="F22" s="207"/>
      <c r="G22" s="207"/>
      <c r="H22" s="206"/>
      <c r="I22" s="206"/>
      <c r="J22" s="206"/>
      <c r="K22" s="200"/>
      <c r="L22" s="206"/>
      <c r="M22" s="206"/>
      <c r="N22" s="200"/>
      <c r="O22" s="200"/>
      <c r="P22" s="203"/>
      <c r="Q22" s="200"/>
    </row>
    <row r="23" spans="1:17" s="197" customFormat="1" ht="21" customHeight="1">
      <c r="A23" s="208">
        <v>220100</v>
      </c>
      <c r="B23" s="199">
        <f>1208160-85810-30000-76646-76330-76330-25700-25000-76330-2000</f>
        <v>734014</v>
      </c>
      <c r="C23" s="199">
        <f>508680-34180-6000-34180-34180-34180-34180</f>
        <v>331780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f>389400-32350-32350-32350-32350-32350</f>
        <v>227650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200">
        <f>SUM(B23:P23)</f>
        <v>1293444</v>
      </c>
    </row>
    <row r="24" spans="1:17" s="197" customFormat="1" ht="21" customHeight="1">
      <c r="A24" s="208">
        <v>220200</v>
      </c>
      <c r="B24" s="199">
        <f>90420-7570-6120-6070-6070-6070</f>
        <v>58520</v>
      </c>
      <c r="C24" s="199">
        <f>54000-3000-3000-3000-3000-3000</f>
        <v>39000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f>36000-3000-3000-3000-3000-3000</f>
        <v>21000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200">
        <f>SUM(B24:P24)</f>
        <v>118520</v>
      </c>
    </row>
    <row r="25" spans="1:17" s="197" customFormat="1" ht="21" customHeight="1">
      <c r="A25" s="208">
        <v>220300</v>
      </c>
      <c r="B25" s="199">
        <f>42000-3500-3500-3500-3500-3500</f>
        <v>24500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200">
        <f>SUM(B25:P25)</f>
        <v>24500</v>
      </c>
    </row>
    <row r="26" spans="1:17" s="197" customFormat="1" ht="21" customHeight="1">
      <c r="A26" s="208">
        <v>220600</v>
      </c>
      <c r="B26" s="199">
        <f>393720-26230-1080-26230-32810-32810-32810</f>
        <v>241750</v>
      </c>
      <c r="C26" s="199">
        <f>233280-19740+3600-19740-19740-19740-19740</f>
        <v>138180</v>
      </c>
      <c r="D26" s="199">
        <v>0</v>
      </c>
      <c r="E26" s="199">
        <v>0</v>
      </c>
      <c r="F26" s="199">
        <f>196800-16420+240+5280-16420-17740-16420-16860</f>
        <v>118460</v>
      </c>
      <c r="G26" s="199">
        <v>0</v>
      </c>
      <c r="H26" s="199">
        <v>0</v>
      </c>
      <c r="I26" s="199">
        <f>335280-8200-8200-27940-27940-27940</f>
        <v>235060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200">
        <f>SUM(B26:P26)</f>
        <v>733450</v>
      </c>
    </row>
    <row r="27" spans="1:17" s="197" customFormat="1" ht="21" customHeight="1">
      <c r="A27" s="202" t="s">
        <v>19</v>
      </c>
      <c r="B27" s="203">
        <f>SUM(B23:B26)</f>
        <v>1058784</v>
      </c>
      <c r="C27" s="203">
        <f aca="true" t="shared" si="4" ref="C27:P27">SUM(C23:C26)</f>
        <v>508960</v>
      </c>
      <c r="D27" s="203">
        <f t="shared" si="4"/>
        <v>0</v>
      </c>
      <c r="E27" s="203">
        <f t="shared" si="4"/>
        <v>0</v>
      </c>
      <c r="F27" s="203">
        <f t="shared" si="4"/>
        <v>118460</v>
      </c>
      <c r="G27" s="203">
        <f t="shared" si="4"/>
        <v>0</v>
      </c>
      <c r="H27" s="203">
        <f t="shared" si="4"/>
        <v>0</v>
      </c>
      <c r="I27" s="203">
        <f t="shared" si="4"/>
        <v>483710</v>
      </c>
      <c r="J27" s="203">
        <f t="shared" si="4"/>
        <v>0</v>
      </c>
      <c r="K27" s="203">
        <f t="shared" si="4"/>
        <v>0</v>
      </c>
      <c r="L27" s="203">
        <f t="shared" si="4"/>
        <v>0</v>
      </c>
      <c r="M27" s="203">
        <f t="shared" si="4"/>
        <v>0</v>
      </c>
      <c r="N27" s="203">
        <f t="shared" si="4"/>
        <v>0</v>
      </c>
      <c r="O27" s="203">
        <f t="shared" si="4"/>
        <v>0</v>
      </c>
      <c r="P27" s="203">
        <f t="shared" si="4"/>
        <v>0</v>
      </c>
      <c r="Q27" s="200">
        <f>SUM(B27:P27)</f>
        <v>2169914</v>
      </c>
    </row>
    <row r="28" spans="1:17" s="197" customFormat="1" ht="21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5"/>
    </row>
    <row r="29" spans="1:17" s="197" customFormat="1" ht="21" customHeight="1">
      <c r="A29" s="216"/>
      <c r="B29" s="214"/>
      <c r="C29" s="422" t="s">
        <v>7</v>
      </c>
      <c r="D29" s="422"/>
      <c r="E29" s="422"/>
      <c r="F29" s="217"/>
      <c r="G29" s="217"/>
      <c r="H29" s="214"/>
      <c r="I29" s="214"/>
      <c r="J29" s="414" t="s">
        <v>101</v>
      </c>
      <c r="K29" s="414"/>
      <c r="L29" s="414"/>
      <c r="M29" s="214"/>
      <c r="N29" s="214"/>
      <c r="O29" s="214"/>
      <c r="P29" s="214"/>
      <c r="Q29" s="215"/>
    </row>
    <row r="30" spans="1:17" s="197" customFormat="1" ht="21" customHeight="1">
      <c r="A30" s="216"/>
      <c r="B30" s="214"/>
      <c r="C30" s="217"/>
      <c r="D30" s="217"/>
      <c r="E30" s="217"/>
      <c r="F30" s="217"/>
      <c r="G30" s="217"/>
      <c r="H30" s="214"/>
      <c r="I30" s="214"/>
      <c r="J30" s="93"/>
      <c r="K30" s="93"/>
      <c r="L30" s="93"/>
      <c r="M30" s="214"/>
      <c r="N30" s="214"/>
      <c r="O30" s="214"/>
      <c r="P30" s="214"/>
      <c r="Q30" s="215"/>
    </row>
    <row r="31" spans="1:17" s="197" customFormat="1" ht="21" customHeight="1">
      <c r="A31" s="216"/>
      <c r="B31" s="214"/>
      <c r="C31" s="422" t="s">
        <v>119</v>
      </c>
      <c r="D31" s="422"/>
      <c r="E31" s="422"/>
      <c r="F31" s="217"/>
      <c r="G31" s="217"/>
      <c r="H31" s="214"/>
      <c r="I31" s="214"/>
      <c r="J31" s="414" t="s">
        <v>246</v>
      </c>
      <c r="K31" s="414"/>
      <c r="L31" s="414"/>
      <c r="M31" s="214"/>
      <c r="N31" s="214"/>
      <c r="O31" s="214"/>
      <c r="P31" s="214"/>
      <c r="Q31" s="215"/>
    </row>
    <row r="32" spans="1:17" s="197" customFormat="1" ht="21" customHeight="1">
      <c r="A32" s="216"/>
      <c r="B32" s="214"/>
      <c r="C32" s="422" t="s">
        <v>111</v>
      </c>
      <c r="D32" s="422"/>
      <c r="E32" s="422"/>
      <c r="F32" s="217"/>
      <c r="G32" s="217"/>
      <c r="H32" s="214"/>
      <c r="I32" s="214"/>
      <c r="J32" s="414" t="s">
        <v>100</v>
      </c>
      <c r="K32" s="414"/>
      <c r="L32" s="414"/>
      <c r="M32" s="214"/>
      <c r="N32" s="214"/>
      <c r="O32" s="214"/>
      <c r="P32" s="214"/>
      <c r="Q32" s="215"/>
    </row>
    <row r="33" spans="1:17" s="197" customFormat="1" ht="18.75">
      <c r="A33" s="216"/>
      <c r="B33" s="214"/>
      <c r="C33" s="217"/>
      <c r="D33" s="217"/>
      <c r="E33" s="217"/>
      <c r="F33" s="217"/>
      <c r="G33" s="217"/>
      <c r="H33" s="214"/>
      <c r="I33" s="214"/>
      <c r="M33" s="214"/>
      <c r="N33" s="214"/>
      <c r="O33" s="214"/>
      <c r="P33" s="214"/>
      <c r="Q33" s="215"/>
    </row>
    <row r="34" spans="1:17" s="197" customFormat="1" ht="21" customHeight="1">
      <c r="A34" s="216"/>
      <c r="B34" s="214"/>
      <c r="C34" s="217"/>
      <c r="D34" s="217"/>
      <c r="E34" s="217"/>
      <c r="F34" s="217"/>
      <c r="G34" s="217"/>
      <c r="H34" s="214"/>
      <c r="I34" s="214"/>
      <c r="J34" s="214"/>
      <c r="K34" s="214"/>
      <c r="L34" s="214"/>
      <c r="M34" s="214"/>
      <c r="N34" s="214"/>
      <c r="O34" s="214"/>
      <c r="P34" s="214"/>
      <c r="Q34" s="215"/>
    </row>
    <row r="35" spans="1:17" s="197" customFormat="1" ht="19.5" thickBot="1">
      <c r="A35" s="429" t="s">
        <v>21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</row>
    <row r="36" spans="1:17" s="183" customFormat="1" ht="21" customHeight="1">
      <c r="A36" s="178" t="s">
        <v>16</v>
      </c>
      <c r="B36" s="424" t="s">
        <v>82</v>
      </c>
      <c r="C36" s="425"/>
      <c r="D36" s="424" t="s">
        <v>85</v>
      </c>
      <c r="E36" s="425"/>
      <c r="F36" s="179" t="s">
        <v>91</v>
      </c>
      <c r="G36" s="179" t="s">
        <v>92</v>
      </c>
      <c r="H36" s="180" t="s">
        <v>95</v>
      </c>
      <c r="I36" s="424" t="s">
        <v>86</v>
      </c>
      <c r="J36" s="425"/>
      <c r="K36" s="181" t="s">
        <v>96</v>
      </c>
      <c r="L36" s="424" t="s">
        <v>87</v>
      </c>
      <c r="M36" s="426"/>
      <c r="N36" s="181" t="s">
        <v>99</v>
      </c>
      <c r="O36" s="181" t="s">
        <v>115</v>
      </c>
      <c r="P36" s="179" t="s">
        <v>80</v>
      </c>
      <c r="Q36" s="182" t="s">
        <v>17</v>
      </c>
    </row>
    <row r="37" spans="1:17" s="183" customFormat="1" ht="21" customHeight="1" thickBot="1">
      <c r="A37" s="184" t="s">
        <v>18</v>
      </c>
      <c r="B37" s="186" t="s">
        <v>83</v>
      </c>
      <c r="C37" s="187" t="s">
        <v>84</v>
      </c>
      <c r="D37" s="185" t="s">
        <v>76</v>
      </c>
      <c r="E37" s="185" t="s">
        <v>77</v>
      </c>
      <c r="F37" s="186" t="s">
        <v>90</v>
      </c>
      <c r="G37" s="186" t="s">
        <v>93</v>
      </c>
      <c r="H37" s="189" t="s">
        <v>94</v>
      </c>
      <c r="I37" s="185" t="s">
        <v>78</v>
      </c>
      <c r="J37" s="185" t="s">
        <v>79</v>
      </c>
      <c r="K37" s="190" t="s">
        <v>97</v>
      </c>
      <c r="L37" s="187" t="s">
        <v>88</v>
      </c>
      <c r="M37" s="188" t="s">
        <v>89</v>
      </c>
      <c r="N37" s="190" t="s">
        <v>98</v>
      </c>
      <c r="O37" s="190" t="s">
        <v>116</v>
      </c>
      <c r="P37" s="185" t="s">
        <v>81</v>
      </c>
      <c r="Q37" s="191"/>
    </row>
    <row r="38" spans="1:17" s="197" customFormat="1" ht="21" customHeight="1">
      <c r="A38" s="210">
        <v>531000</v>
      </c>
      <c r="B38" s="211"/>
      <c r="C38" s="212"/>
      <c r="D38" s="193"/>
      <c r="E38" s="193"/>
      <c r="F38" s="194"/>
      <c r="G38" s="194"/>
      <c r="H38" s="193"/>
      <c r="I38" s="193"/>
      <c r="J38" s="211"/>
      <c r="K38" s="200"/>
      <c r="L38" s="193"/>
      <c r="M38" s="193"/>
      <c r="N38" s="200"/>
      <c r="O38" s="200"/>
      <c r="P38" s="211"/>
      <c r="Q38" s="200"/>
    </row>
    <row r="39" spans="1:17" s="197" customFormat="1" ht="21" customHeight="1">
      <c r="A39" s="208">
        <v>310100</v>
      </c>
      <c r="B39" s="199">
        <v>10000</v>
      </c>
      <c r="C39" s="199">
        <v>0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30000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200">
        <f>SUM(B39:P39)</f>
        <v>40000</v>
      </c>
    </row>
    <row r="40" spans="1:17" s="197" customFormat="1" ht="21" customHeight="1">
      <c r="A40" s="208">
        <v>310200</v>
      </c>
      <c r="B40" s="199">
        <v>38400</v>
      </c>
      <c r="C40" s="199">
        <v>0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200">
        <f aca="true" t="shared" si="5" ref="Q40:Q46">SUM(B40:P40)</f>
        <v>38400</v>
      </c>
    </row>
    <row r="41" spans="1:17" s="197" customFormat="1" ht="21" customHeight="1">
      <c r="A41" s="208">
        <v>310300</v>
      </c>
      <c r="B41" s="199">
        <f>100800-16800-18480-17500-20000-3600-6300</f>
        <v>18120</v>
      </c>
      <c r="C41" s="199">
        <f>42000-3600-10500-4200</f>
        <v>23700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f>50400-9660-6300</f>
        <v>34440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200">
        <f t="shared" si="5"/>
        <v>76260</v>
      </c>
    </row>
    <row r="42" spans="1:17" s="197" customFormat="1" ht="21" customHeight="1">
      <c r="A42" s="208">
        <v>310400</v>
      </c>
      <c r="B42" s="199">
        <f>60000-3000-3000-3000-3000</f>
        <v>48000</v>
      </c>
      <c r="C42" s="199">
        <f>37200-2750-2750-2750-4250</f>
        <v>24700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200">
        <f t="shared" si="5"/>
        <v>72700</v>
      </c>
    </row>
    <row r="43" spans="1:17" s="197" customFormat="1" ht="21" customHeight="1">
      <c r="A43" s="208">
        <v>310500</v>
      </c>
      <c r="B43" s="199">
        <v>15000</v>
      </c>
      <c r="C43" s="199">
        <f>6000-1937</f>
        <v>4063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f>10000-1937</f>
        <v>8063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200">
        <f t="shared" si="5"/>
        <v>27126</v>
      </c>
    </row>
    <row r="44" spans="1:17" s="197" customFormat="1" ht="21" customHeight="1">
      <c r="A44" s="208">
        <v>310600</v>
      </c>
      <c r="B44" s="199">
        <f>25000-2175-4125-5560</f>
        <v>13140</v>
      </c>
      <c r="C44" s="199">
        <f>30000-2810</f>
        <v>27190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f>200000-45830-28000-33001</f>
        <v>93169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200">
        <f t="shared" si="5"/>
        <v>133499</v>
      </c>
    </row>
    <row r="45" spans="1:17" s="197" customFormat="1" ht="21" customHeight="1">
      <c r="A45" s="208">
        <v>310800</v>
      </c>
      <c r="B45" s="199">
        <v>281730</v>
      </c>
      <c r="C45" s="199">
        <v>152430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97860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200">
        <f t="shared" si="5"/>
        <v>532020</v>
      </c>
    </row>
    <row r="46" spans="1:17" s="197" customFormat="1" ht="21" customHeight="1">
      <c r="A46" s="202" t="s">
        <v>19</v>
      </c>
      <c r="B46" s="203">
        <f aca="true" t="shared" si="6" ref="B46:P46">SUM(B39:B45)</f>
        <v>424390</v>
      </c>
      <c r="C46" s="203">
        <f t="shared" si="6"/>
        <v>232083</v>
      </c>
      <c r="D46" s="203">
        <f t="shared" si="6"/>
        <v>0</v>
      </c>
      <c r="E46" s="203">
        <f t="shared" si="6"/>
        <v>0</v>
      </c>
      <c r="F46" s="203">
        <f t="shared" si="6"/>
        <v>0</v>
      </c>
      <c r="G46" s="203">
        <f t="shared" si="6"/>
        <v>0</v>
      </c>
      <c r="H46" s="203">
        <f t="shared" si="6"/>
        <v>0</v>
      </c>
      <c r="I46" s="203">
        <f t="shared" si="6"/>
        <v>263532</v>
      </c>
      <c r="J46" s="203">
        <f t="shared" si="6"/>
        <v>0</v>
      </c>
      <c r="K46" s="203">
        <f t="shared" si="6"/>
        <v>0</v>
      </c>
      <c r="L46" s="203">
        <f t="shared" si="6"/>
        <v>0</v>
      </c>
      <c r="M46" s="203">
        <f t="shared" si="6"/>
        <v>0</v>
      </c>
      <c r="N46" s="203">
        <f t="shared" si="6"/>
        <v>0</v>
      </c>
      <c r="O46" s="203">
        <f t="shared" si="6"/>
        <v>0</v>
      </c>
      <c r="P46" s="203">
        <f t="shared" si="6"/>
        <v>0</v>
      </c>
      <c r="Q46" s="200">
        <f t="shared" si="5"/>
        <v>920005</v>
      </c>
    </row>
    <row r="47" spans="1:17" s="197" customFormat="1" ht="21" customHeight="1">
      <c r="A47" s="205">
        <v>532000</v>
      </c>
      <c r="B47" s="203"/>
      <c r="C47" s="209"/>
      <c r="D47" s="206"/>
      <c r="E47" s="206"/>
      <c r="F47" s="207"/>
      <c r="G47" s="207"/>
      <c r="H47" s="203"/>
      <c r="I47" s="206"/>
      <c r="J47" s="203"/>
      <c r="K47" s="200"/>
      <c r="L47" s="206"/>
      <c r="M47" s="206"/>
      <c r="N47" s="200"/>
      <c r="O47" s="200"/>
      <c r="P47" s="203"/>
      <c r="Q47" s="200"/>
    </row>
    <row r="48" spans="1:17" s="197" customFormat="1" ht="21" customHeight="1">
      <c r="A48" s="208">
        <v>320100</v>
      </c>
      <c r="B48" s="199">
        <f>150000+30000+36500+50000+5000+150000+15840+54000+60000-9860+8400-23633-54148-12300-50000-30900</f>
        <v>378899</v>
      </c>
      <c r="C48" s="199">
        <f>30000-500-3600</f>
        <v>25900</v>
      </c>
      <c r="D48" s="199">
        <v>0</v>
      </c>
      <c r="E48" s="199">
        <v>0</v>
      </c>
      <c r="F48" s="199">
        <f>420-420</f>
        <v>0</v>
      </c>
      <c r="G48" s="199">
        <f>25000+60000+8400-5700-11400-5700</f>
        <v>70600</v>
      </c>
      <c r="H48" s="199">
        <v>0</v>
      </c>
      <c r="I48" s="199">
        <f>30000+60000-5000-5000-5000-15500-6800</f>
        <v>52700</v>
      </c>
      <c r="J48" s="199">
        <v>0</v>
      </c>
      <c r="K48" s="199">
        <f>17500+42000+19500-8000+2600</f>
        <v>73600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200">
        <f aca="true" t="shared" si="7" ref="Q48:Q53">SUM(B48:P48)</f>
        <v>601699</v>
      </c>
    </row>
    <row r="49" spans="1:17" s="197" customFormat="1" ht="21" customHeight="1">
      <c r="A49" s="208">
        <v>320200</v>
      </c>
      <c r="B49" s="199">
        <v>20000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200">
        <f t="shared" si="7"/>
        <v>20000</v>
      </c>
    </row>
    <row r="50" spans="1:17" s="197" customFormat="1" ht="21" customHeight="1">
      <c r="A50" s="208">
        <v>320300</v>
      </c>
      <c r="B50" s="199">
        <f>120000+6000+20000+9600+1250-1000-7518+5000-54048-1756</f>
        <v>97528</v>
      </c>
      <c r="C50" s="199">
        <f>50000+10000+250000-8986-382</f>
        <v>300632</v>
      </c>
      <c r="D50" s="199">
        <f>30000-900+15500-15800-10700</f>
        <v>18100</v>
      </c>
      <c r="E50" s="199">
        <v>0</v>
      </c>
      <c r="F50" s="199">
        <v>0</v>
      </c>
      <c r="G50" s="199">
        <v>15000</v>
      </c>
      <c r="H50" s="199">
        <v>5000</v>
      </c>
      <c r="I50" s="199">
        <f>40000-14300</f>
        <v>25700</v>
      </c>
      <c r="J50" s="199">
        <v>0</v>
      </c>
      <c r="K50" s="199">
        <f>15000+15000+50000+15000+40000-11300-1750</f>
        <v>121950</v>
      </c>
      <c r="L50" s="199">
        <f>110000-50000</f>
        <v>60000</v>
      </c>
      <c r="M50" s="199">
        <v>50000</v>
      </c>
      <c r="N50" s="199">
        <f>55000-47000+17500-4800</f>
        <v>20700</v>
      </c>
      <c r="O50" s="199">
        <v>0</v>
      </c>
      <c r="P50" s="199">
        <v>0</v>
      </c>
      <c r="Q50" s="200">
        <f t="shared" si="7"/>
        <v>714610</v>
      </c>
    </row>
    <row r="51" spans="1:17" s="197" customFormat="1" ht="21" customHeight="1">
      <c r="A51" s="208">
        <v>320400</v>
      </c>
      <c r="B51" s="199">
        <f>50000-3850-7480</f>
        <v>38670</v>
      </c>
      <c r="C51" s="199">
        <f>15000-2700</f>
        <v>12300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10000</v>
      </c>
      <c r="J51" s="199">
        <v>20000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200">
        <f t="shared" si="7"/>
        <v>80970</v>
      </c>
    </row>
    <row r="52" spans="1:17" s="197" customFormat="1" ht="21" customHeight="1">
      <c r="A52" s="208">
        <v>320500</v>
      </c>
      <c r="B52" s="199">
        <v>5000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200">
        <f t="shared" si="7"/>
        <v>5000</v>
      </c>
    </row>
    <row r="53" spans="1:17" s="197" customFormat="1" ht="21" customHeight="1">
      <c r="A53" s="202" t="s">
        <v>19</v>
      </c>
      <c r="B53" s="203">
        <f aca="true" t="shared" si="8" ref="B53:P53">SUM(B48:B52)</f>
        <v>540097</v>
      </c>
      <c r="C53" s="203">
        <f t="shared" si="8"/>
        <v>338832</v>
      </c>
      <c r="D53" s="203">
        <f t="shared" si="8"/>
        <v>18100</v>
      </c>
      <c r="E53" s="203">
        <f t="shared" si="8"/>
        <v>0</v>
      </c>
      <c r="F53" s="203">
        <f t="shared" si="8"/>
        <v>0</v>
      </c>
      <c r="G53" s="203">
        <f t="shared" si="8"/>
        <v>85600</v>
      </c>
      <c r="H53" s="203">
        <f t="shared" si="8"/>
        <v>5000</v>
      </c>
      <c r="I53" s="203">
        <f t="shared" si="8"/>
        <v>88400</v>
      </c>
      <c r="J53" s="203">
        <f t="shared" si="8"/>
        <v>20000</v>
      </c>
      <c r="K53" s="203">
        <f t="shared" si="8"/>
        <v>195550</v>
      </c>
      <c r="L53" s="203">
        <f t="shared" si="8"/>
        <v>60000</v>
      </c>
      <c r="M53" s="203">
        <f t="shared" si="8"/>
        <v>50000</v>
      </c>
      <c r="N53" s="203">
        <f t="shared" si="8"/>
        <v>20700</v>
      </c>
      <c r="O53" s="203">
        <f t="shared" si="8"/>
        <v>0</v>
      </c>
      <c r="P53" s="203">
        <f t="shared" si="8"/>
        <v>0</v>
      </c>
      <c r="Q53" s="200">
        <f t="shared" si="7"/>
        <v>1422279</v>
      </c>
    </row>
    <row r="54" spans="1:17" s="197" customFormat="1" ht="21" customHeight="1">
      <c r="A54" s="213"/>
      <c r="B54" s="214"/>
      <c r="C54" s="422" t="s">
        <v>7</v>
      </c>
      <c r="D54" s="422"/>
      <c r="E54" s="422"/>
      <c r="F54" s="217"/>
      <c r="G54" s="217"/>
      <c r="H54" s="214"/>
      <c r="I54" s="214"/>
      <c r="J54" s="414" t="s">
        <v>101</v>
      </c>
      <c r="K54" s="414"/>
      <c r="L54" s="414"/>
      <c r="M54" s="214"/>
      <c r="N54" s="214"/>
      <c r="O54" s="214"/>
      <c r="P54" s="214"/>
      <c r="Q54" s="215"/>
    </row>
    <row r="55" spans="1:17" s="197" customFormat="1" ht="21" customHeight="1">
      <c r="A55" s="213"/>
      <c r="B55" s="214"/>
      <c r="C55" s="217"/>
      <c r="D55" s="217"/>
      <c r="E55" s="217"/>
      <c r="F55" s="217"/>
      <c r="G55" s="217"/>
      <c r="H55" s="214"/>
      <c r="I55" s="214"/>
      <c r="J55" s="93"/>
      <c r="K55" s="93"/>
      <c r="L55" s="93"/>
      <c r="M55" s="214"/>
      <c r="N55" s="214"/>
      <c r="O55" s="214"/>
      <c r="P55" s="214"/>
      <c r="Q55" s="215"/>
    </row>
    <row r="56" spans="1:17" s="197" customFormat="1" ht="21" customHeight="1">
      <c r="A56" s="216"/>
      <c r="B56" s="214"/>
      <c r="C56" s="217"/>
      <c r="D56" s="217"/>
      <c r="E56" s="217"/>
      <c r="F56" s="217"/>
      <c r="G56" s="217"/>
      <c r="H56" s="214"/>
      <c r="I56" s="214"/>
      <c r="J56" s="93"/>
      <c r="K56" s="77"/>
      <c r="L56" s="77"/>
      <c r="M56" s="214"/>
      <c r="N56" s="214"/>
      <c r="O56" s="214"/>
      <c r="P56" s="214"/>
      <c r="Q56" s="215"/>
    </row>
    <row r="57" spans="1:17" s="197" customFormat="1" ht="21" customHeight="1">
      <c r="A57" s="216"/>
      <c r="B57" s="214"/>
      <c r="C57" s="422" t="s">
        <v>119</v>
      </c>
      <c r="D57" s="422"/>
      <c r="E57" s="422"/>
      <c r="F57" s="217"/>
      <c r="G57" s="217"/>
      <c r="H57" s="214"/>
      <c r="I57" s="214"/>
      <c r="J57" s="414" t="s">
        <v>246</v>
      </c>
      <c r="K57" s="414"/>
      <c r="L57" s="414"/>
      <c r="M57" s="214"/>
      <c r="N57" s="214"/>
      <c r="O57" s="214"/>
      <c r="P57" s="214"/>
      <c r="Q57" s="215"/>
    </row>
    <row r="58" spans="1:17" s="197" customFormat="1" ht="21" customHeight="1">
      <c r="A58" s="216"/>
      <c r="B58" s="214"/>
      <c r="C58" s="422" t="s">
        <v>111</v>
      </c>
      <c r="D58" s="422"/>
      <c r="E58" s="422"/>
      <c r="F58" s="217"/>
      <c r="G58" s="217"/>
      <c r="H58" s="214"/>
      <c r="I58" s="214"/>
      <c r="J58" s="414" t="s">
        <v>100</v>
      </c>
      <c r="K58" s="414"/>
      <c r="L58" s="414"/>
      <c r="M58" s="214"/>
      <c r="N58" s="214"/>
      <c r="O58" s="214"/>
      <c r="P58" s="214"/>
      <c r="Q58" s="215"/>
    </row>
    <row r="59" spans="1:17" s="197" customFormat="1" ht="21" customHeight="1">
      <c r="A59" s="216"/>
      <c r="B59" s="214"/>
      <c r="C59" s="217"/>
      <c r="D59" s="217"/>
      <c r="E59" s="217"/>
      <c r="F59" s="217"/>
      <c r="G59" s="217"/>
      <c r="H59" s="214"/>
      <c r="I59" s="214"/>
      <c r="J59" s="214"/>
      <c r="K59" s="214"/>
      <c r="L59" s="214"/>
      <c r="M59" s="214"/>
      <c r="N59" s="214"/>
      <c r="O59" s="214"/>
      <c r="P59" s="214"/>
      <c r="Q59" s="215"/>
    </row>
    <row r="60" spans="1:17" s="197" customFormat="1" ht="21" customHeight="1">
      <c r="A60" s="216"/>
      <c r="B60" s="214"/>
      <c r="C60" s="217"/>
      <c r="D60" s="217"/>
      <c r="E60" s="217"/>
      <c r="F60" s="217"/>
      <c r="G60" s="217"/>
      <c r="H60" s="214"/>
      <c r="I60" s="214"/>
      <c r="J60" s="214"/>
      <c r="K60" s="214"/>
      <c r="L60" s="214"/>
      <c r="M60" s="214"/>
      <c r="N60" s="214"/>
      <c r="O60" s="214"/>
      <c r="P60" s="214"/>
      <c r="Q60" s="215"/>
    </row>
    <row r="61" spans="1:17" s="197" customFormat="1" ht="21" customHeight="1">
      <c r="A61" s="216"/>
      <c r="B61" s="214"/>
      <c r="C61" s="217"/>
      <c r="D61" s="217"/>
      <c r="E61" s="217"/>
      <c r="F61" s="217"/>
      <c r="G61" s="217"/>
      <c r="H61" s="214"/>
      <c r="I61" s="214"/>
      <c r="J61" s="214"/>
      <c r="K61" s="214"/>
      <c r="L61" s="214"/>
      <c r="M61" s="214"/>
      <c r="N61" s="214"/>
      <c r="O61" s="214"/>
      <c r="P61" s="214"/>
      <c r="Q61" s="215"/>
    </row>
    <row r="62" spans="1:17" s="197" customFormat="1" ht="21" customHeight="1">
      <c r="A62" s="216"/>
      <c r="B62" s="214"/>
      <c r="C62" s="217"/>
      <c r="D62" s="217"/>
      <c r="E62" s="217"/>
      <c r="F62" s="217"/>
      <c r="G62" s="217"/>
      <c r="H62" s="214"/>
      <c r="I62" s="214"/>
      <c r="J62" s="214"/>
      <c r="K62" s="214"/>
      <c r="L62" s="214"/>
      <c r="M62" s="214"/>
      <c r="N62" s="214"/>
      <c r="O62" s="214"/>
      <c r="P62" s="214"/>
      <c r="Q62" s="215"/>
    </row>
    <row r="63" spans="1:17" s="197" customFormat="1" ht="21" customHeight="1">
      <c r="A63" s="216"/>
      <c r="B63" s="214"/>
      <c r="C63" s="217"/>
      <c r="D63" s="217"/>
      <c r="E63" s="217"/>
      <c r="F63" s="217"/>
      <c r="G63" s="217"/>
      <c r="H63" s="214"/>
      <c r="I63" s="214"/>
      <c r="J63" s="214"/>
      <c r="K63" s="214"/>
      <c r="L63" s="214"/>
      <c r="M63" s="214"/>
      <c r="N63" s="214"/>
      <c r="O63" s="214"/>
      <c r="P63" s="214"/>
      <c r="Q63" s="215"/>
    </row>
    <row r="64" spans="1:17" s="197" customFormat="1" ht="21" customHeight="1">
      <c r="A64" s="216"/>
      <c r="B64" s="214"/>
      <c r="C64" s="217"/>
      <c r="D64" s="217"/>
      <c r="E64" s="217"/>
      <c r="F64" s="217"/>
      <c r="G64" s="217"/>
      <c r="H64" s="214"/>
      <c r="I64" s="214"/>
      <c r="J64" s="214"/>
      <c r="K64" s="214"/>
      <c r="L64" s="214"/>
      <c r="M64" s="214"/>
      <c r="N64" s="214"/>
      <c r="O64" s="214"/>
      <c r="P64" s="214"/>
      <c r="Q64" s="215"/>
    </row>
    <row r="65" spans="1:17" s="197" customFormat="1" ht="21" customHeight="1">
      <c r="A65" s="216"/>
      <c r="B65" s="214"/>
      <c r="C65" s="217"/>
      <c r="D65" s="217"/>
      <c r="E65" s="217"/>
      <c r="F65" s="217"/>
      <c r="G65" s="217"/>
      <c r="H65" s="214"/>
      <c r="I65" s="214"/>
      <c r="J65" s="214"/>
      <c r="K65" s="214"/>
      <c r="L65" s="214"/>
      <c r="M65" s="214"/>
      <c r="N65" s="214"/>
      <c r="O65" s="214"/>
      <c r="P65" s="214"/>
      <c r="Q65" s="215"/>
    </row>
    <row r="66" spans="1:17" s="197" customFormat="1" ht="21" customHeight="1">
      <c r="A66" s="216"/>
      <c r="B66" s="214"/>
      <c r="C66" s="217"/>
      <c r="D66" s="217"/>
      <c r="E66" s="217"/>
      <c r="F66" s="217"/>
      <c r="G66" s="217"/>
      <c r="H66" s="214"/>
      <c r="I66" s="214"/>
      <c r="J66" s="214"/>
      <c r="K66" s="214"/>
      <c r="L66" s="214"/>
      <c r="M66" s="214"/>
      <c r="N66" s="214"/>
      <c r="O66" s="214"/>
      <c r="P66" s="214"/>
      <c r="Q66" s="215"/>
    </row>
    <row r="67" spans="1:17" s="197" customFormat="1" ht="21" customHeight="1">
      <c r="A67" s="216"/>
      <c r="B67" s="214"/>
      <c r="C67" s="217"/>
      <c r="D67" s="217"/>
      <c r="E67" s="217"/>
      <c r="F67" s="217"/>
      <c r="G67" s="217"/>
      <c r="H67" s="214"/>
      <c r="I67" s="214"/>
      <c r="J67" s="214"/>
      <c r="K67" s="214"/>
      <c r="L67" s="214"/>
      <c r="M67" s="214"/>
      <c r="N67" s="214"/>
      <c r="O67" s="214"/>
      <c r="P67" s="214"/>
      <c r="Q67" s="215"/>
    </row>
    <row r="68" spans="1:17" s="197" customFormat="1" ht="21" customHeight="1">
      <c r="A68" s="216"/>
      <c r="B68" s="214"/>
      <c r="C68" s="217"/>
      <c r="D68" s="217"/>
      <c r="E68" s="217"/>
      <c r="F68" s="217"/>
      <c r="G68" s="217"/>
      <c r="H68" s="214"/>
      <c r="I68" s="214"/>
      <c r="J68" s="214"/>
      <c r="K68" s="214"/>
      <c r="L68" s="214"/>
      <c r="M68" s="214"/>
      <c r="N68" s="214"/>
      <c r="O68" s="214"/>
      <c r="P68" s="214"/>
      <c r="Q68" s="215"/>
    </row>
    <row r="69" spans="1:17" s="197" customFormat="1" ht="21" customHeight="1" thickBot="1">
      <c r="A69" s="423" t="s">
        <v>72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</row>
    <row r="70" spans="1:17" s="183" customFormat="1" ht="21" customHeight="1">
      <c r="A70" s="178" t="s">
        <v>16</v>
      </c>
      <c r="B70" s="424" t="s">
        <v>82</v>
      </c>
      <c r="C70" s="425"/>
      <c r="D70" s="424" t="s">
        <v>85</v>
      </c>
      <c r="E70" s="425"/>
      <c r="F70" s="179" t="s">
        <v>91</v>
      </c>
      <c r="G70" s="179" t="s">
        <v>92</v>
      </c>
      <c r="H70" s="180" t="s">
        <v>95</v>
      </c>
      <c r="I70" s="424" t="s">
        <v>86</v>
      </c>
      <c r="J70" s="425"/>
      <c r="K70" s="181" t="s">
        <v>96</v>
      </c>
      <c r="L70" s="424" t="s">
        <v>87</v>
      </c>
      <c r="M70" s="426"/>
      <c r="N70" s="181" t="s">
        <v>99</v>
      </c>
      <c r="O70" s="181" t="s">
        <v>115</v>
      </c>
      <c r="P70" s="179" t="s">
        <v>80</v>
      </c>
      <c r="Q70" s="182" t="s">
        <v>17</v>
      </c>
    </row>
    <row r="71" spans="1:17" s="183" customFormat="1" ht="21" customHeight="1" thickBot="1">
      <c r="A71" s="184" t="s">
        <v>18</v>
      </c>
      <c r="B71" s="186" t="s">
        <v>83</v>
      </c>
      <c r="C71" s="187" t="s">
        <v>84</v>
      </c>
      <c r="D71" s="185" t="s">
        <v>76</v>
      </c>
      <c r="E71" s="185" t="s">
        <v>77</v>
      </c>
      <c r="F71" s="186" t="s">
        <v>90</v>
      </c>
      <c r="G71" s="186" t="s">
        <v>93</v>
      </c>
      <c r="H71" s="189" t="s">
        <v>94</v>
      </c>
      <c r="I71" s="185" t="s">
        <v>78</v>
      </c>
      <c r="J71" s="185" t="s">
        <v>79</v>
      </c>
      <c r="K71" s="190" t="s">
        <v>97</v>
      </c>
      <c r="L71" s="187" t="s">
        <v>88</v>
      </c>
      <c r="M71" s="188" t="s">
        <v>89</v>
      </c>
      <c r="N71" s="190" t="s">
        <v>98</v>
      </c>
      <c r="O71" s="190" t="s">
        <v>116</v>
      </c>
      <c r="P71" s="185" t="s">
        <v>81</v>
      </c>
      <c r="Q71" s="191"/>
    </row>
    <row r="72" spans="1:17" s="197" customFormat="1" ht="21" customHeight="1">
      <c r="A72" s="205">
        <v>533000</v>
      </c>
      <c r="B72" s="203"/>
      <c r="C72" s="212"/>
      <c r="D72" s="193"/>
      <c r="E72" s="203"/>
      <c r="F72" s="209"/>
      <c r="G72" s="194"/>
      <c r="H72" s="203"/>
      <c r="I72" s="203"/>
      <c r="J72" s="203"/>
      <c r="K72" s="200"/>
      <c r="L72" s="218"/>
      <c r="M72" s="211"/>
      <c r="N72" s="200"/>
      <c r="O72" s="200"/>
      <c r="P72" s="211"/>
      <c r="Q72" s="200"/>
    </row>
    <row r="73" spans="1:17" s="197" customFormat="1" ht="21" customHeight="1">
      <c r="A73" s="219">
        <v>330100</v>
      </c>
      <c r="B73" s="199">
        <f>100000-2050</f>
        <v>97950</v>
      </c>
      <c r="C73" s="199">
        <f>30000-5400-8100</f>
        <v>16500</v>
      </c>
      <c r="D73" s="199">
        <v>0</v>
      </c>
      <c r="E73" s="199">
        <v>0</v>
      </c>
      <c r="F73" s="199">
        <f>50000-50000</f>
        <v>0</v>
      </c>
      <c r="G73" s="199">
        <v>0</v>
      </c>
      <c r="H73" s="199">
        <v>0</v>
      </c>
      <c r="I73" s="199">
        <v>15000</v>
      </c>
      <c r="J73" s="199">
        <v>0</v>
      </c>
      <c r="K73" s="199">
        <v>20000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200">
        <f>SUM(B73:P73)</f>
        <v>149450</v>
      </c>
    </row>
    <row r="74" spans="1:17" s="197" customFormat="1" ht="21" customHeight="1">
      <c r="A74" s="219">
        <v>330200</v>
      </c>
      <c r="B74" s="199">
        <f>20000-1810-7080</f>
        <v>11110</v>
      </c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200">
        <f aca="true" t="shared" si="9" ref="Q74:Q86">SUM(B74:P74)</f>
        <v>11110</v>
      </c>
    </row>
    <row r="75" spans="1:17" s="197" customFormat="1" ht="21" customHeight="1">
      <c r="A75" s="208">
        <v>330300</v>
      </c>
      <c r="B75" s="199">
        <f>6000-2100</f>
        <v>3900</v>
      </c>
      <c r="C75" s="199">
        <v>0</v>
      </c>
      <c r="D75" s="199">
        <v>0</v>
      </c>
      <c r="E75" s="199">
        <v>0</v>
      </c>
      <c r="F75" s="199">
        <v>6000</v>
      </c>
      <c r="G75" s="199">
        <v>9000</v>
      </c>
      <c r="H75" s="199">
        <v>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f>60000-25000-35000</f>
        <v>0</v>
      </c>
      <c r="P75" s="199">
        <v>0</v>
      </c>
      <c r="Q75" s="200">
        <f t="shared" si="9"/>
        <v>18900</v>
      </c>
    </row>
    <row r="76" spans="1:17" s="197" customFormat="1" ht="21" customHeight="1">
      <c r="A76" s="208">
        <v>330600</v>
      </c>
      <c r="B76" s="199">
        <f>10000-1990</f>
        <v>8010</v>
      </c>
      <c r="C76" s="199">
        <v>0</v>
      </c>
      <c r="D76" s="199">
        <v>0</v>
      </c>
      <c r="E76" s="199">
        <v>0</v>
      </c>
      <c r="F76" s="199">
        <v>0</v>
      </c>
      <c r="G76" s="199"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f>20000+30000+25000</f>
        <v>75000</v>
      </c>
      <c r="P76" s="199">
        <v>0</v>
      </c>
      <c r="Q76" s="200">
        <f t="shared" si="9"/>
        <v>83010</v>
      </c>
    </row>
    <row r="77" spans="1:17" s="197" customFormat="1" ht="21" customHeight="1">
      <c r="A77" s="208">
        <v>330700</v>
      </c>
      <c r="B77" s="199">
        <f>30000-3500-1660-3300</f>
        <v>21540</v>
      </c>
      <c r="C77" s="199">
        <v>0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200">
        <f t="shared" si="9"/>
        <v>21540</v>
      </c>
    </row>
    <row r="78" spans="1:17" s="197" customFormat="1" ht="21" customHeight="1">
      <c r="A78" s="208">
        <v>330800</v>
      </c>
      <c r="B78" s="199">
        <f>300000-9279-13805-16029-17945</f>
        <v>242942</v>
      </c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200">
        <f t="shared" si="9"/>
        <v>242942</v>
      </c>
    </row>
    <row r="79" spans="1:17" s="197" customFormat="1" ht="21" customHeight="1">
      <c r="A79" s="208">
        <v>330900</v>
      </c>
      <c r="B79" s="199">
        <v>0</v>
      </c>
      <c r="C79" s="199">
        <v>0</v>
      </c>
      <c r="D79" s="199">
        <v>0</v>
      </c>
      <c r="E79" s="199">
        <v>0</v>
      </c>
      <c r="F79" s="199">
        <v>0</v>
      </c>
      <c r="G79" s="199">
        <v>30000</v>
      </c>
      <c r="H79" s="199">
        <v>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200">
        <f t="shared" si="9"/>
        <v>30000</v>
      </c>
    </row>
    <row r="80" spans="1:17" s="197" customFormat="1" ht="21" customHeight="1">
      <c r="A80" s="208">
        <v>331000</v>
      </c>
      <c r="B80" s="199">
        <v>0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f>30000+10000+30000-5250+10000-11620</f>
        <v>63130</v>
      </c>
      <c r="O80" s="199">
        <v>0</v>
      </c>
      <c r="P80" s="199">
        <v>0</v>
      </c>
      <c r="Q80" s="200">
        <f t="shared" si="9"/>
        <v>63130</v>
      </c>
    </row>
    <row r="81" spans="1:17" s="197" customFormat="1" ht="21" customHeight="1">
      <c r="A81" s="208">
        <v>331100</v>
      </c>
      <c r="B81" s="199">
        <f>70000-5500-38500-14250</f>
        <v>11750</v>
      </c>
      <c r="C81" s="199">
        <f>10000-9000</f>
        <v>1000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5000</v>
      </c>
      <c r="J81" s="199">
        <v>0</v>
      </c>
      <c r="K81" s="199">
        <f>15000-13800</f>
        <v>1200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200">
        <f t="shared" si="9"/>
        <v>18950</v>
      </c>
    </row>
    <row r="82" spans="1:17" s="197" customFormat="1" ht="21" customHeight="1">
      <c r="A82" s="208">
        <v>331400</v>
      </c>
      <c r="B82" s="199">
        <v>40000</v>
      </c>
      <c r="C82" s="199">
        <v>15000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199">
        <v>8000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200">
        <f t="shared" si="9"/>
        <v>63000</v>
      </c>
    </row>
    <row r="83" spans="1:17" s="197" customFormat="1" ht="21" customHeight="1">
      <c r="A83" s="208">
        <v>331700</v>
      </c>
      <c r="B83" s="199">
        <v>0</v>
      </c>
      <c r="C83" s="199">
        <v>0</v>
      </c>
      <c r="D83" s="199">
        <v>0</v>
      </c>
      <c r="E83" s="199">
        <v>0</v>
      </c>
      <c r="F83" s="199">
        <f>408672+294000+117600+25200-117600-25200</f>
        <v>702672</v>
      </c>
      <c r="G83" s="199">
        <v>0</v>
      </c>
      <c r="H83" s="199">
        <v>0</v>
      </c>
      <c r="I83" s="199">
        <v>0</v>
      </c>
      <c r="J83" s="199">
        <v>0</v>
      </c>
      <c r="K83" s="199">
        <v>0</v>
      </c>
      <c r="L83" s="199">
        <f>13200-13200</f>
        <v>0</v>
      </c>
      <c r="M83" s="199">
        <v>0</v>
      </c>
      <c r="N83" s="199">
        <v>0</v>
      </c>
      <c r="O83" s="199">
        <v>0</v>
      </c>
      <c r="P83" s="199">
        <v>0</v>
      </c>
      <c r="Q83" s="200">
        <f t="shared" si="9"/>
        <v>702672</v>
      </c>
    </row>
    <row r="84" spans="1:17" s="197" customFormat="1" ht="21" customHeight="1">
      <c r="A84" s="208">
        <v>331800</v>
      </c>
      <c r="B84" s="199">
        <v>10000</v>
      </c>
      <c r="C84" s="199">
        <v>0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199">
        <v>0</v>
      </c>
      <c r="J84" s="199">
        <v>0</v>
      </c>
      <c r="K84" s="199">
        <v>0</v>
      </c>
      <c r="L84" s="199">
        <f>13200-13200</f>
        <v>0</v>
      </c>
      <c r="M84" s="199">
        <v>0</v>
      </c>
      <c r="N84" s="199">
        <v>0</v>
      </c>
      <c r="O84" s="199">
        <v>0</v>
      </c>
      <c r="P84" s="199">
        <v>0</v>
      </c>
      <c r="Q84" s="200">
        <f t="shared" si="9"/>
        <v>10000</v>
      </c>
    </row>
    <row r="85" spans="1:17" s="197" customFormat="1" ht="21" customHeight="1">
      <c r="A85" s="208">
        <v>331900</v>
      </c>
      <c r="B85" s="199">
        <f>3600-3600</f>
        <v>0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f>13200-13200</f>
        <v>0</v>
      </c>
      <c r="M85" s="199">
        <v>0</v>
      </c>
      <c r="N85" s="199">
        <v>0</v>
      </c>
      <c r="O85" s="199">
        <v>0</v>
      </c>
      <c r="P85" s="199">
        <v>0</v>
      </c>
      <c r="Q85" s="200">
        <f>SUM(B85:P85)</f>
        <v>0</v>
      </c>
    </row>
    <row r="86" spans="1:17" s="197" customFormat="1" ht="21" customHeight="1">
      <c r="A86" s="202" t="s">
        <v>19</v>
      </c>
      <c r="B86" s="203">
        <f>SUM(B73:B85)</f>
        <v>447202</v>
      </c>
      <c r="C86" s="203">
        <f aca="true" t="shared" si="10" ref="C86:P86">SUM(C73:C85)</f>
        <v>32500</v>
      </c>
      <c r="D86" s="203">
        <f t="shared" si="10"/>
        <v>0</v>
      </c>
      <c r="E86" s="203">
        <f t="shared" si="10"/>
        <v>0</v>
      </c>
      <c r="F86" s="203">
        <f t="shared" si="10"/>
        <v>708672</v>
      </c>
      <c r="G86" s="203">
        <f t="shared" si="10"/>
        <v>39000</v>
      </c>
      <c r="H86" s="203">
        <f t="shared" si="10"/>
        <v>0</v>
      </c>
      <c r="I86" s="203">
        <f t="shared" si="10"/>
        <v>28000</v>
      </c>
      <c r="J86" s="203">
        <f t="shared" si="10"/>
        <v>0</v>
      </c>
      <c r="K86" s="203">
        <f t="shared" si="10"/>
        <v>21200</v>
      </c>
      <c r="L86" s="203">
        <f t="shared" si="10"/>
        <v>0</v>
      </c>
      <c r="M86" s="203">
        <f t="shared" si="10"/>
        <v>0</v>
      </c>
      <c r="N86" s="203">
        <f t="shared" si="10"/>
        <v>63130</v>
      </c>
      <c r="O86" s="203">
        <f t="shared" si="10"/>
        <v>75000</v>
      </c>
      <c r="P86" s="203">
        <f t="shared" si="10"/>
        <v>0</v>
      </c>
      <c r="Q86" s="200">
        <f t="shared" si="9"/>
        <v>1414704</v>
      </c>
    </row>
    <row r="87" spans="1:17" s="197" customFormat="1" ht="21" customHeight="1">
      <c r="A87" s="205">
        <v>534000</v>
      </c>
      <c r="B87" s="203"/>
      <c r="C87" s="207"/>
      <c r="D87" s="206"/>
      <c r="E87" s="206"/>
      <c r="F87" s="207"/>
      <c r="G87" s="206"/>
      <c r="H87" s="203"/>
      <c r="I87" s="206"/>
      <c r="J87" s="206"/>
      <c r="K87" s="200"/>
      <c r="L87" s="206"/>
      <c r="M87" s="206"/>
      <c r="N87" s="200"/>
      <c r="O87" s="200"/>
      <c r="P87" s="206"/>
      <c r="Q87" s="200"/>
    </row>
    <row r="88" spans="1:17" s="197" customFormat="1" ht="21" customHeight="1">
      <c r="A88" s="208">
        <v>340100</v>
      </c>
      <c r="B88" s="199">
        <f>115000+5000-9714.8-8827.19-8225.71-7127.25-6546.86</f>
        <v>79558.18999999999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f>150000-7694.78-7150.59-5409.28-6606.42-8565.42</f>
        <v>114573.51000000001</v>
      </c>
      <c r="P88" s="199">
        <v>0</v>
      </c>
      <c r="Q88" s="200">
        <f>SUM(B88:P88)</f>
        <v>194131.7</v>
      </c>
    </row>
    <row r="89" spans="1:17" s="197" customFormat="1" ht="21" customHeight="1">
      <c r="A89" s="208">
        <v>340300</v>
      </c>
      <c r="B89" s="199">
        <f>16000-1683.44-1343.17-1233.71-511.62-529.75</f>
        <v>10698.31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200">
        <f>SUM(B89:P89)</f>
        <v>10698.31</v>
      </c>
    </row>
    <row r="90" spans="1:17" s="197" customFormat="1" ht="21" customHeight="1">
      <c r="A90" s="208">
        <v>340400</v>
      </c>
      <c r="B90" s="199">
        <f>6000-5475.84-417.39+2000</f>
        <v>2106.77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200">
        <f>SUM(B90:P90)</f>
        <v>2106.77</v>
      </c>
    </row>
    <row r="91" spans="1:17" s="197" customFormat="1" ht="21" customHeight="1">
      <c r="A91" s="208">
        <v>340500</v>
      </c>
      <c r="B91" s="199">
        <f>58800-1605-1605-1605-1605-5243</f>
        <v>47137</v>
      </c>
      <c r="C91" s="199">
        <v>0</v>
      </c>
      <c r="D91" s="199">
        <v>0</v>
      </c>
      <c r="E91" s="199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200">
        <f>SUM(B91:P91)</f>
        <v>47137</v>
      </c>
    </row>
    <row r="92" spans="1:17" s="197" customFormat="1" ht="21" customHeight="1">
      <c r="A92" s="202" t="s">
        <v>19</v>
      </c>
      <c r="B92" s="206">
        <f>SUM(B88:B91)</f>
        <v>139500.27</v>
      </c>
      <c r="C92" s="206">
        <f aca="true" t="shared" si="11" ref="C92:P92">SUM(C88:C91)</f>
        <v>0</v>
      </c>
      <c r="D92" s="206">
        <f t="shared" si="11"/>
        <v>0</v>
      </c>
      <c r="E92" s="206">
        <f t="shared" si="11"/>
        <v>0</v>
      </c>
      <c r="F92" s="206">
        <f t="shared" si="11"/>
        <v>0</v>
      </c>
      <c r="G92" s="206">
        <f t="shared" si="11"/>
        <v>0</v>
      </c>
      <c r="H92" s="206">
        <f t="shared" si="11"/>
        <v>0</v>
      </c>
      <c r="I92" s="206">
        <f t="shared" si="11"/>
        <v>0</v>
      </c>
      <c r="J92" s="206">
        <f t="shared" si="11"/>
        <v>0</v>
      </c>
      <c r="K92" s="206">
        <f t="shared" si="11"/>
        <v>0</v>
      </c>
      <c r="L92" s="206">
        <f t="shared" si="11"/>
        <v>0</v>
      </c>
      <c r="M92" s="206">
        <f t="shared" si="11"/>
        <v>0</v>
      </c>
      <c r="N92" s="206">
        <f t="shared" si="11"/>
        <v>0</v>
      </c>
      <c r="O92" s="206">
        <f t="shared" si="11"/>
        <v>114573.51000000001</v>
      </c>
      <c r="P92" s="206">
        <f t="shared" si="11"/>
        <v>0</v>
      </c>
      <c r="Q92" s="200">
        <f>SUM(B92:P92)</f>
        <v>254073.78</v>
      </c>
    </row>
    <row r="93" spans="1:17" s="197" customFormat="1" ht="21" customHeight="1">
      <c r="A93" s="213"/>
      <c r="B93" s="221"/>
      <c r="C93" s="422" t="s">
        <v>7</v>
      </c>
      <c r="D93" s="422"/>
      <c r="E93" s="422"/>
      <c r="F93" s="217"/>
      <c r="G93" s="217"/>
      <c r="H93" s="221"/>
      <c r="I93" s="221"/>
      <c r="J93" s="414" t="s">
        <v>101</v>
      </c>
      <c r="K93" s="414"/>
      <c r="L93" s="414"/>
      <c r="M93" s="221"/>
      <c r="N93" s="221"/>
      <c r="O93" s="221"/>
      <c r="P93" s="221"/>
      <c r="Q93" s="221"/>
    </row>
    <row r="94" spans="1:17" s="197" customFormat="1" ht="21" customHeight="1">
      <c r="A94" s="213"/>
      <c r="B94" s="215"/>
      <c r="C94" s="217"/>
      <c r="D94" s="217"/>
      <c r="E94" s="217"/>
      <c r="F94" s="217"/>
      <c r="G94" s="217"/>
      <c r="H94" s="215"/>
      <c r="I94" s="215"/>
      <c r="J94" s="93"/>
      <c r="K94" s="93"/>
      <c r="L94" s="93"/>
      <c r="M94" s="215"/>
      <c r="N94" s="215"/>
      <c r="O94" s="215"/>
      <c r="P94" s="215"/>
      <c r="Q94" s="215"/>
    </row>
    <row r="95" spans="1:17" s="197" customFormat="1" ht="21">
      <c r="A95" s="213"/>
      <c r="B95" s="215"/>
      <c r="C95" s="217"/>
      <c r="D95" s="217"/>
      <c r="E95" s="217"/>
      <c r="F95" s="217"/>
      <c r="G95" s="217"/>
      <c r="H95" s="215"/>
      <c r="I95" s="215"/>
      <c r="J95" s="93"/>
      <c r="K95" s="77"/>
      <c r="L95" s="77"/>
      <c r="M95" s="215"/>
      <c r="N95" s="215"/>
      <c r="O95" s="215"/>
      <c r="P95" s="215"/>
      <c r="Q95" s="215"/>
    </row>
    <row r="96" spans="1:17" s="197" customFormat="1" ht="21" customHeight="1">
      <c r="A96" s="213"/>
      <c r="B96" s="215"/>
      <c r="C96" s="422" t="s">
        <v>121</v>
      </c>
      <c r="D96" s="422"/>
      <c r="E96" s="422"/>
      <c r="F96" s="217"/>
      <c r="G96" s="217"/>
      <c r="H96" s="215"/>
      <c r="I96" s="215"/>
      <c r="J96" s="414" t="s">
        <v>246</v>
      </c>
      <c r="K96" s="414"/>
      <c r="L96" s="414"/>
      <c r="M96" s="215"/>
      <c r="N96" s="215"/>
      <c r="O96" s="215"/>
      <c r="P96" s="215"/>
      <c r="Q96" s="215"/>
    </row>
    <row r="97" spans="1:17" s="222" customFormat="1" ht="21" customHeight="1">
      <c r="A97" s="216"/>
      <c r="B97" s="215"/>
      <c r="C97" s="422" t="s">
        <v>111</v>
      </c>
      <c r="D97" s="422"/>
      <c r="E97" s="422"/>
      <c r="F97" s="217"/>
      <c r="G97" s="217"/>
      <c r="H97" s="215"/>
      <c r="I97" s="215"/>
      <c r="J97" s="414" t="s">
        <v>100</v>
      </c>
      <c r="K97" s="414"/>
      <c r="L97" s="414"/>
      <c r="M97" s="215"/>
      <c r="N97" s="215"/>
      <c r="O97" s="215"/>
      <c r="P97" s="215"/>
      <c r="Q97" s="215"/>
    </row>
    <row r="98" spans="1:17" s="222" customFormat="1" ht="21" customHeight="1">
      <c r="A98" s="216"/>
      <c r="B98" s="215"/>
      <c r="C98" s="217"/>
      <c r="D98" s="217"/>
      <c r="E98" s="217"/>
      <c r="F98" s="217"/>
      <c r="G98" s="217"/>
      <c r="H98" s="215"/>
      <c r="I98" s="215"/>
      <c r="J98" s="215"/>
      <c r="K98" s="215"/>
      <c r="L98" s="215"/>
      <c r="M98" s="215"/>
      <c r="N98" s="215"/>
      <c r="O98" s="215"/>
      <c r="P98" s="215"/>
      <c r="Q98" s="215"/>
    </row>
    <row r="99" spans="1:17" s="222" customFormat="1" ht="21" customHeight="1">
      <c r="A99" s="216"/>
      <c r="B99" s="215"/>
      <c r="C99" s="217"/>
      <c r="D99" s="217"/>
      <c r="E99" s="217"/>
      <c r="F99" s="217"/>
      <c r="G99" s="217"/>
      <c r="H99" s="215"/>
      <c r="I99" s="215"/>
      <c r="J99" s="215"/>
      <c r="K99" s="215"/>
      <c r="L99" s="215"/>
      <c r="M99" s="215"/>
      <c r="N99" s="215"/>
      <c r="O99" s="215"/>
      <c r="P99" s="215"/>
      <c r="Q99" s="215"/>
    </row>
    <row r="100" spans="1:17" s="222" customFormat="1" ht="21" customHeight="1">
      <c r="A100" s="216"/>
      <c r="B100" s="215"/>
      <c r="C100" s="217"/>
      <c r="D100" s="217"/>
      <c r="E100" s="217"/>
      <c r="F100" s="217"/>
      <c r="G100" s="217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</row>
    <row r="101" spans="1:17" s="222" customFormat="1" ht="21" customHeight="1">
      <c r="A101" s="216"/>
      <c r="B101" s="215"/>
      <c r="C101" s="217"/>
      <c r="D101" s="217"/>
      <c r="E101" s="217"/>
      <c r="F101" s="217"/>
      <c r="G101" s="217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</row>
    <row r="102" spans="1:17" s="222" customFormat="1" ht="21" customHeight="1">
      <c r="A102" s="216"/>
      <c r="B102" s="215"/>
      <c r="C102" s="217"/>
      <c r="D102" s="217"/>
      <c r="E102" s="217"/>
      <c r="F102" s="217"/>
      <c r="G102" s="217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</row>
    <row r="103" spans="1:17" s="222" customFormat="1" ht="21" customHeight="1">
      <c r="A103" s="216"/>
      <c r="B103" s="215"/>
      <c r="C103" s="217"/>
      <c r="D103" s="217"/>
      <c r="E103" s="217"/>
      <c r="F103" s="217"/>
      <c r="G103" s="217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</row>
    <row r="104" spans="1:17" s="197" customFormat="1" ht="21" customHeight="1" thickBot="1">
      <c r="A104" s="423" t="s">
        <v>245</v>
      </c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</row>
    <row r="105" spans="1:17" s="183" customFormat="1" ht="21" customHeight="1">
      <c r="A105" s="178" t="s">
        <v>16</v>
      </c>
      <c r="B105" s="424" t="s">
        <v>82</v>
      </c>
      <c r="C105" s="425"/>
      <c r="D105" s="424" t="s">
        <v>85</v>
      </c>
      <c r="E105" s="425"/>
      <c r="F105" s="179" t="s">
        <v>91</v>
      </c>
      <c r="G105" s="179" t="s">
        <v>92</v>
      </c>
      <c r="H105" s="180" t="s">
        <v>95</v>
      </c>
      <c r="I105" s="424" t="s">
        <v>86</v>
      </c>
      <c r="J105" s="425"/>
      <c r="K105" s="181" t="s">
        <v>96</v>
      </c>
      <c r="L105" s="424" t="s">
        <v>87</v>
      </c>
      <c r="M105" s="426"/>
      <c r="N105" s="181" t="s">
        <v>99</v>
      </c>
      <c r="O105" s="181" t="s">
        <v>115</v>
      </c>
      <c r="P105" s="179" t="s">
        <v>80</v>
      </c>
      <c r="Q105" s="182" t="s">
        <v>17</v>
      </c>
    </row>
    <row r="106" spans="1:17" s="183" customFormat="1" ht="21" customHeight="1" thickBot="1">
      <c r="A106" s="184" t="s">
        <v>18</v>
      </c>
      <c r="B106" s="186" t="s">
        <v>83</v>
      </c>
      <c r="C106" s="187" t="s">
        <v>84</v>
      </c>
      <c r="D106" s="185" t="s">
        <v>76</v>
      </c>
      <c r="E106" s="185" t="s">
        <v>77</v>
      </c>
      <c r="F106" s="186" t="s">
        <v>90</v>
      </c>
      <c r="G106" s="186" t="s">
        <v>93</v>
      </c>
      <c r="H106" s="189" t="s">
        <v>94</v>
      </c>
      <c r="I106" s="185" t="s">
        <v>78</v>
      </c>
      <c r="J106" s="185" t="s">
        <v>79</v>
      </c>
      <c r="K106" s="190" t="s">
        <v>97</v>
      </c>
      <c r="L106" s="187" t="s">
        <v>88</v>
      </c>
      <c r="M106" s="188" t="s">
        <v>89</v>
      </c>
      <c r="N106" s="190" t="s">
        <v>98</v>
      </c>
      <c r="O106" s="190" t="s">
        <v>116</v>
      </c>
      <c r="P106" s="185" t="s">
        <v>81</v>
      </c>
      <c r="Q106" s="191"/>
    </row>
    <row r="107" spans="1:17" s="197" customFormat="1" ht="21" customHeight="1">
      <c r="A107" s="205">
        <v>541000</v>
      </c>
      <c r="B107" s="203"/>
      <c r="C107" s="207"/>
      <c r="D107" s="206"/>
      <c r="E107" s="206"/>
      <c r="F107" s="207"/>
      <c r="G107" s="206"/>
      <c r="H107" s="203"/>
      <c r="I107" s="206"/>
      <c r="J107" s="206"/>
      <c r="K107" s="200"/>
      <c r="L107" s="206"/>
      <c r="M107" s="206"/>
      <c r="N107" s="200"/>
      <c r="O107" s="200"/>
      <c r="P107" s="206"/>
      <c r="Q107" s="200"/>
    </row>
    <row r="108" spans="1:17" s="197" customFormat="1" ht="21" customHeight="1">
      <c r="A108" s="219">
        <v>410100</v>
      </c>
      <c r="B108" s="199">
        <f>45000+8960+100000+25700-19200</f>
        <v>160460</v>
      </c>
      <c r="C108" s="201">
        <f>23200+10000+20000</f>
        <v>53200</v>
      </c>
      <c r="D108" s="199">
        <v>0</v>
      </c>
      <c r="E108" s="199">
        <v>0</v>
      </c>
      <c r="F108" s="201">
        <v>14900</v>
      </c>
      <c r="G108" s="199">
        <v>0</v>
      </c>
      <c r="H108" s="199">
        <v>0</v>
      </c>
      <c r="I108" s="200">
        <f>10000+3600+10000</f>
        <v>23600</v>
      </c>
      <c r="J108" s="199">
        <v>0</v>
      </c>
      <c r="K108" s="199">
        <v>0</v>
      </c>
      <c r="L108" s="199">
        <v>0</v>
      </c>
      <c r="M108" s="199">
        <v>0</v>
      </c>
      <c r="N108" s="199">
        <f>20000+3000+5000</f>
        <v>28000</v>
      </c>
      <c r="O108" s="199">
        <v>0</v>
      </c>
      <c r="P108" s="199">
        <v>0</v>
      </c>
      <c r="Q108" s="200">
        <f>SUM(B108:P108)</f>
        <v>280160</v>
      </c>
    </row>
    <row r="109" spans="1:17" s="197" customFormat="1" ht="21" customHeight="1">
      <c r="A109" s="208">
        <v>410300</v>
      </c>
      <c r="B109" s="199">
        <f>28000+80000</f>
        <v>108000</v>
      </c>
      <c r="C109" s="199">
        <v>0</v>
      </c>
      <c r="D109" s="199">
        <v>0</v>
      </c>
      <c r="E109" s="199">
        <v>0</v>
      </c>
      <c r="F109" s="199">
        <v>0</v>
      </c>
      <c r="G109" s="199">
        <v>0</v>
      </c>
      <c r="H109" s="199">
        <v>0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200">
        <f aca="true" t="shared" si="12" ref="Q109:Q115">SUM(B109:P109)</f>
        <v>108000</v>
      </c>
    </row>
    <row r="110" spans="1:17" s="197" customFormat="1" ht="21" customHeight="1">
      <c r="A110" s="208">
        <v>410600</v>
      </c>
      <c r="B110" s="199">
        <v>0</v>
      </c>
      <c r="C110" s="199">
        <v>0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199">
        <v>20000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200">
        <f t="shared" si="12"/>
        <v>20000</v>
      </c>
    </row>
    <row r="111" spans="1:17" s="197" customFormat="1" ht="21" customHeight="1">
      <c r="A111" s="208">
        <v>410700</v>
      </c>
      <c r="B111" s="199">
        <v>0</v>
      </c>
      <c r="C111" s="199">
        <v>0</v>
      </c>
      <c r="D111" s="199">
        <v>0</v>
      </c>
      <c r="E111" s="199">
        <v>0</v>
      </c>
      <c r="F111" s="199">
        <v>5590</v>
      </c>
      <c r="G111" s="199">
        <v>0</v>
      </c>
      <c r="H111" s="199">
        <v>0</v>
      </c>
      <c r="I111" s="199">
        <v>50000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200">
        <f t="shared" si="12"/>
        <v>55590</v>
      </c>
    </row>
    <row r="112" spans="1:17" s="197" customFormat="1" ht="21" customHeight="1">
      <c r="A112" s="208">
        <v>410800</v>
      </c>
      <c r="B112" s="199">
        <v>0</v>
      </c>
      <c r="C112" s="199">
        <v>0</v>
      </c>
      <c r="D112" s="199">
        <v>0</v>
      </c>
      <c r="E112" s="199">
        <v>0</v>
      </c>
      <c r="F112" s="199">
        <v>0</v>
      </c>
      <c r="G112" s="199">
        <f>19500+22000+2500-2500</f>
        <v>41500</v>
      </c>
      <c r="H112" s="199">
        <v>0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f>47500-47500</f>
        <v>0</v>
      </c>
      <c r="O112" s="199">
        <v>0</v>
      </c>
      <c r="P112" s="199">
        <v>0</v>
      </c>
      <c r="Q112" s="200">
        <f t="shared" si="12"/>
        <v>41500</v>
      </c>
    </row>
    <row r="113" spans="1:17" s="197" customFormat="1" ht="21" customHeight="1">
      <c r="A113" s="208">
        <v>410900</v>
      </c>
      <c r="B113" s="199">
        <v>0</v>
      </c>
      <c r="C113" s="199">
        <v>0</v>
      </c>
      <c r="D113" s="199">
        <v>0</v>
      </c>
      <c r="E113" s="199">
        <v>0</v>
      </c>
      <c r="F113" s="199">
        <v>0</v>
      </c>
      <c r="G113" s="199">
        <v>9500</v>
      </c>
      <c r="H113" s="199">
        <v>0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200">
        <f t="shared" si="12"/>
        <v>9500</v>
      </c>
    </row>
    <row r="114" spans="1:17" s="197" customFormat="1" ht="21" customHeight="1">
      <c r="A114" s="208">
        <v>411700</v>
      </c>
      <c r="B114" s="199">
        <v>0</v>
      </c>
      <c r="C114" s="199">
        <v>0</v>
      </c>
      <c r="D114" s="199">
        <f>27000-27000</f>
        <v>0</v>
      </c>
      <c r="E114" s="199">
        <v>0</v>
      </c>
      <c r="F114" s="199">
        <v>0</v>
      </c>
      <c r="G114" s="199">
        <v>0</v>
      </c>
      <c r="H114" s="199">
        <v>0</v>
      </c>
      <c r="I114" s="199">
        <v>0</v>
      </c>
      <c r="J114" s="199">
        <v>0</v>
      </c>
      <c r="K114" s="199">
        <f>6000-6000</f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200">
        <f t="shared" si="12"/>
        <v>0</v>
      </c>
    </row>
    <row r="115" spans="1:17" s="197" customFormat="1" ht="21" customHeight="1">
      <c r="A115" s="202" t="s">
        <v>19</v>
      </c>
      <c r="B115" s="206">
        <f aca="true" t="shared" si="13" ref="B115:P115">SUM(B108:B114)</f>
        <v>268460</v>
      </c>
      <c r="C115" s="206">
        <f t="shared" si="13"/>
        <v>53200</v>
      </c>
      <c r="D115" s="206">
        <f t="shared" si="13"/>
        <v>0</v>
      </c>
      <c r="E115" s="206">
        <f t="shared" si="13"/>
        <v>0</v>
      </c>
      <c r="F115" s="206">
        <f t="shared" si="13"/>
        <v>20490</v>
      </c>
      <c r="G115" s="206">
        <f t="shared" si="13"/>
        <v>51000</v>
      </c>
      <c r="H115" s="206">
        <f t="shared" si="13"/>
        <v>0</v>
      </c>
      <c r="I115" s="206">
        <f t="shared" si="13"/>
        <v>93600</v>
      </c>
      <c r="J115" s="206">
        <f t="shared" si="13"/>
        <v>0</v>
      </c>
      <c r="K115" s="206">
        <f t="shared" si="13"/>
        <v>0</v>
      </c>
      <c r="L115" s="206">
        <f t="shared" si="13"/>
        <v>0</v>
      </c>
      <c r="M115" s="206">
        <f t="shared" si="13"/>
        <v>0</v>
      </c>
      <c r="N115" s="206">
        <f t="shared" si="13"/>
        <v>28000</v>
      </c>
      <c r="O115" s="206">
        <f t="shared" si="13"/>
        <v>0</v>
      </c>
      <c r="P115" s="206">
        <f t="shared" si="13"/>
        <v>0</v>
      </c>
      <c r="Q115" s="200">
        <f t="shared" si="12"/>
        <v>514750</v>
      </c>
    </row>
    <row r="116" spans="1:17" s="197" customFormat="1" ht="21" customHeight="1">
      <c r="A116" s="205">
        <v>542000</v>
      </c>
      <c r="B116" s="203"/>
      <c r="C116" s="207"/>
      <c r="D116" s="206"/>
      <c r="E116" s="206"/>
      <c r="F116" s="207"/>
      <c r="G116" s="206"/>
      <c r="H116" s="203"/>
      <c r="I116" s="206"/>
      <c r="J116" s="206"/>
      <c r="K116" s="200"/>
      <c r="L116" s="206"/>
      <c r="M116" s="206"/>
      <c r="N116" s="200"/>
      <c r="O116" s="200"/>
      <c r="P116" s="206"/>
      <c r="Q116" s="200"/>
    </row>
    <row r="117" spans="1:17" s="197" customFormat="1" ht="18.75">
      <c r="A117" s="202">
        <v>420700</v>
      </c>
      <c r="B117" s="203">
        <v>0</v>
      </c>
      <c r="C117" s="203">
        <v>0</v>
      </c>
      <c r="D117" s="203">
        <v>0</v>
      </c>
      <c r="E117" s="203">
        <v>0</v>
      </c>
      <c r="F117" s="203">
        <v>0</v>
      </c>
      <c r="G117" s="203">
        <v>0</v>
      </c>
      <c r="H117" s="203">
        <v>0</v>
      </c>
      <c r="I117" s="228">
        <v>0</v>
      </c>
      <c r="J117" s="203">
        <v>365000</v>
      </c>
      <c r="K117" s="203">
        <v>0</v>
      </c>
      <c r="L117" s="203">
        <v>0</v>
      </c>
      <c r="M117" s="203">
        <v>0</v>
      </c>
      <c r="N117" s="203">
        <v>0</v>
      </c>
      <c r="O117" s="203">
        <v>0</v>
      </c>
      <c r="P117" s="203">
        <v>0</v>
      </c>
      <c r="Q117" s="200">
        <f>SUM(B117:P117)</f>
        <v>365000</v>
      </c>
    </row>
    <row r="118" spans="1:17" s="197" customFormat="1" ht="18.75">
      <c r="A118" s="202">
        <v>420900</v>
      </c>
      <c r="B118" s="203">
        <v>0</v>
      </c>
      <c r="C118" s="203">
        <v>0</v>
      </c>
      <c r="D118" s="203">
        <v>0</v>
      </c>
      <c r="E118" s="203">
        <v>0</v>
      </c>
      <c r="F118" s="203">
        <v>0</v>
      </c>
      <c r="G118" s="203">
        <v>0</v>
      </c>
      <c r="H118" s="203">
        <v>0</v>
      </c>
      <c r="I118" s="228">
        <v>0</v>
      </c>
      <c r="J118" s="203">
        <f>250000+40700+165000+74500</f>
        <v>530200</v>
      </c>
      <c r="K118" s="203">
        <v>0</v>
      </c>
      <c r="L118" s="203">
        <v>0</v>
      </c>
      <c r="M118" s="203">
        <v>0</v>
      </c>
      <c r="N118" s="203">
        <v>0</v>
      </c>
      <c r="O118" s="203">
        <v>0</v>
      </c>
      <c r="P118" s="203">
        <v>0</v>
      </c>
      <c r="Q118" s="200">
        <f>SUM(B118:P118)</f>
        <v>530200</v>
      </c>
    </row>
    <row r="119" spans="1:17" s="197" customFormat="1" ht="18.75">
      <c r="A119" s="202">
        <v>421000</v>
      </c>
      <c r="B119" s="203">
        <v>0</v>
      </c>
      <c r="C119" s="203">
        <v>0</v>
      </c>
      <c r="D119" s="203">
        <v>0</v>
      </c>
      <c r="E119" s="203">
        <v>0</v>
      </c>
      <c r="F119" s="203">
        <v>0</v>
      </c>
      <c r="G119" s="203">
        <v>0</v>
      </c>
      <c r="H119" s="203">
        <v>100000</v>
      </c>
      <c r="I119" s="228">
        <v>0</v>
      </c>
      <c r="J119" s="203">
        <f>92000+137500+159000+98800+97900+171000+45500+48900+77700+183000+67800</f>
        <v>1179100</v>
      </c>
      <c r="K119" s="203">
        <v>0</v>
      </c>
      <c r="L119" s="203">
        <v>0</v>
      </c>
      <c r="M119" s="203">
        <v>0</v>
      </c>
      <c r="N119" s="203">
        <f>5000</f>
        <v>5000</v>
      </c>
      <c r="O119" s="203">
        <v>0</v>
      </c>
      <c r="P119" s="203">
        <v>0</v>
      </c>
      <c r="Q119" s="200">
        <f>SUM(B119:P119)</f>
        <v>1284100</v>
      </c>
    </row>
    <row r="120" spans="1:17" s="197" customFormat="1" ht="21" customHeight="1">
      <c r="A120" s="202" t="s">
        <v>19</v>
      </c>
      <c r="B120" s="206">
        <f>SUM(B117:B119)</f>
        <v>0</v>
      </c>
      <c r="C120" s="206">
        <f aca="true" t="shared" si="14" ref="C120:P120">SUM(C117:C119)</f>
        <v>0</v>
      </c>
      <c r="D120" s="206">
        <f t="shared" si="14"/>
        <v>0</v>
      </c>
      <c r="E120" s="206">
        <f t="shared" si="14"/>
        <v>0</v>
      </c>
      <c r="F120" s="206">
        <f t="shared" si="14"/>
        <v>0</v>
      </c>
      <c r="G120" s="206">
        <f t="shared" si="14"/>
        <v>0</v>
      </c>
      <c r="H120" s="206">
        <f t="shared" si="14"/>
        <v>100000</v>
      </c>
      <c r="I120" s="206">
        <f t="shared" si="14"/>
        <v>0</v>
      </c>
      <c r="J120" s="206">
        <f t="shared" si="14"/>
        <v>2074300</v>
      </c>
      <c r="K120" s="206">
        <f t="shared" si="14"/>
        <v>0</v>
      </c>
      <c r="L120" s="206">
        <f t="shared" si="14"/>
        <v>0</v>
      </c>
      <c r="M120" s="206">
        <f t="shared" si="14"/>
        <v>0</v>
      </c>
      <c r="N120" s="206">
        <f t="shared" si="14"/>
        <v>5000</v>
      </c>
      <c r="O120" s="206">
        <f t="shared" si="14"/>
        <v>0</v>
      </c>
      <c r="P120" s="206">
        <f t="shared" si="14"/>
        <v>0</v>
      </c>
      <c r="Q120" s="200">
        <f>SUM(B120:P120)</f>
        <v>2179300</v>
      </c>
    </row>
    <row r="121" spans="1:17" s="197" customFormat="1" ht="21" customHeight="1">
      <c r="A121" s="205">
        <v>551000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0"/>
    </row>
    <row r="122" spans="1:17" s="197" customFormat="1" ht="21" customHeight="1">
      <c r="A122" s="208">
        <v>510100</v>
      </c>
      <c r="B122" s="199">
        <v>30000</v>
      </c>
      <c r="C122" s="199">
        <v>0</v>
      </c>
      <c r="D122" s="199">
        <v>0</v>
      </c>
      <c r="E122" s="199">
        <f>100000-80000-10000</f>
        <v>10000</v>
      </c>
      <c r="F122" s="199">
        <f>20000+6000-318500+50000+372400+117600+25200+420+147000</f>
        <v>420120</v>
      </c>
      <c r="G122" s="199">
        <v>0</v>
      </c>
      <c r="H122" s="199">
        <v>0</v>
      </c>
      <c r="I122" s="199">
        <v>0</v>
      </c>
      <c r="J122" s="199">
        <v>0</v>
      </c>
      <c r="K122" s="199">
        <f>10000+18000+30000-20000-19995-2600-3750</f>
        <v>11655</v>
      </c>
      <c r="L122" s="199">
        <v>20000</v>
      </c>
      <c r="M122" s="199">
        <v>0</v>
      </c>
      <c r="N122" s="199">
        <f>10000+5000</f>
        <v>15000</v>
      </c>
      <c r="O122" s="199">
        <v>0</v>
      </c>
      <c r="P122" s="199">
        <v>0</v>
      </c>
      <c r="Q122" s="200">
        <f>SUM(B122:P122)</f>
        <v>506775</v>
      </c>
    </row>
    <row r="123" spans="1:17" s="197" customFormat="1" ht="21" customHeight="1">
      <c r="A123" s="202" t="s">
        <v>19</v>
      </c>
      <c r="B123" s="203">
        <f aca="true" t="shared" si="15" ref="B123:P123">SUM(B122)</f>
        <v>30000</v>
      </c>
      <c r="C123" s="203">
        <f t="shared" si="15"/>
        <v>0</v>
      </c>
      <c r="D123" s="203">
        <f t="shared" si="15"/>
        <v>0</v>
      </c>
      <c r="E123" s="203">
        <f t="shared" si="15"/>
        <v>10000</v>
      </c>
      <c r="F123" s="203">
        <f t="shared" si="15"/>
        <v>420120</v>
      </c>
      <c r="G123" s="203">
        <f t="shared" si="15"/>
        <v>0</v>
      </c>
      <c r="H123" s="203">
        <f t="shared" si="15"/>
        <v>0</v>
      </c>
      <c r="I123" s="203">
        <f t="shared" si="15"/>
        <v>0</v>
      </c>
      <c r="J123" s="203">
        <f t="shared" si="15"/>
        <v>0</v>
      </c>
      <c r="K123" s="203">
        <f t="shared" si="15"/>
        <v>11655</v>
      </c>
      <c r="L123" s="203">
        <f t="shared" si="15"/>
        <v>20000</v>
      </c>
      <c r="M123" s="203">
        <f t="shared" si="15"/>
        <v>0</v>
      </c>
      <c r="N123" s="203">
        <f t="shared" si="15"/>
        <v>15000</v>
      </c>
      <c r="O123" s="203">
        <f t="shared" si="15"/>
        <v>0</v>
      </c>
      <c r="P123" s="203">
        <f t="shared" si="15"/>
        <v>0</v>
      </c>
      <c r="Q123" s="200">
        <f>SUM(B123:P123)</f>
        <v>506775</v>
      </c>
    </row>
    <row r="124" spans="1:17" s="197" customFormat="1" ht="21" customHeight="1">
      <c r="A124" s="205">
        <v>561000</v>
      </c>
      <c r="B124" s="203"/>
      <c r="C124" s="207"/>
      <c r="D124" s="206"/>
      <c r="E124" s="206"/>
      <c r="F124" s="207"/>
      <c r="G124" s="206"/>
      <c r="H124" s="203"/>
      <c r="I124" s="206"/>
      <c r="J124" s="206"/>
      <c r="K124" s="200"/>
      <c r="L124" s="206"/>
      <c r="M124" s="206"/>
      <c r="N124" s="200"/>
      <c r="O124" s="200"/>
      <c r="P124" s="206"/>
      <c r="Q124" s="200"/>
    </row>
    <row r="125" spans="1:17" s="197" customFormat="1" ht="21" customHeight="1">
      <c r="A125" s="208">
        <v>610100</v>
      </c>
      <c r="B125" s="199">
        <v>10000</v>
      </c>
      <c r="C125" s="199">
        <v>0</v>
      </c>
      <c r="D125" s="199">
        <v>40000</v>
      </c>
      <c r="E125" s="199">
        <v>0</v>
      </c>
      <c r="F125" s="199">
        <f>628000+372400-314000-372400</f>
        <v>314000</v>
      </c>
      <c r="G125" s="199">
        <v>80000</v>
      </c>
      <c r="H125" s="199">
        <v>0</v>
      </c>
      <c r="I125" s="199">
        <v>0</v>
      </c>
      <c r="J125" s="199">
        <v>0</v>
      </c>
      <c r="K125" s="199">
        <f>120000-120000</f>
        <v>0</v>
      </c>
      <c r="L125" s="199">
        <f>5000+50000</f>
        <v>55000</v>
      </c>
      <c r="M125" s="199">
        <f>5000+5000-5000</f>
        <v>5000</v>
      </c>
      <c r="N125" s="220">
        <v>0</v>
      </c>
      <c r="O125" s="220">
        <v>0</v>
      </c>
      <c r="P125" s="199">
        <v>0</v>
      </c>
      <c r="Q125" s="200">
        <f>SUM(B125:P125)</f>
        <v>504000</v>
      </c>
    </row>
    <row r="126" spans="1:17" s="197" customFormat="1" ht="21" customHeight="1">
      <c r="A126" s="202" t="s">
        <v>19</v>
      </c>
      <c r="B126" s="206">
        <f aca="true" t="shared" si="16" ref="B126:P126">SUM(B125)</f>
        <v>10000</v>
      </c>
      <c r="C126" s="206">
        <f t="shared" si="16"/>
        <v>0</v>
      </c>
      <c r="D126" s="206">
        <f t="shared" si="16"/>
        <v>40000</v>
      </c>
      <c r="E126" s="206">
        <f t="shared" si="16"/>
        <v>0</v>
      </c>
      <c r="F126" s="206">
        <f t="shared" si="16"/>
        <v>314000</v>
      </c>
      <c r="G126" s="206">
        <f t="shared" si="16"/>
        <v>80000</v>
      </c>
      <c r="H126" s="206">
        <f t="shared" si="16"/>
        <v>0</v>
      </c>
      <c r="I126" s="206">
        <f t="shared" si="16"/>
        <v>0</v>
      </c>
      <c r="J126" s="206">
        <f t="shared" si="16"/>
        <v>0</v>
      </c>
      <c r="K126" s="206">
        <f t="shared" si="16"/>
        <v>0</v>
      </c>
      <c r="L126" s="206">
        <f t="shared" si="16"/>
        <v>55000</v>
      </c>
      <c r="M126" s="206">
        <f t="shared" si="16"/>
        <v>5000</v>
      </c>
      <c r="N126" s="206">
        <f t="shared" si="16"/>
        <v>0</v>
      </c>
      <c r="O126" s="206">
        <f t="shared" si="16"/>
        <v>0</v>
      </c>
      <c r="P126" s="206">
        <f t="shared" si="16"/>
        <v>0</v>
      </c>
      <c r="Q126" s="200">
        <f>SUM(B126:P126)</f>
        <v>504000</v>
      </c>
    </row>
    <row r="127" spans="1:17" s="197" customFormat="1" ht="21" customHeight="1">
      <c r="A127" s="202" t="s">
        <v>73</v>
      </c>
      <c r="B127" s="206">
        <f>B14+B21+B27+B46+B53+B86+B92+B115+B120+B123+B126</f>
        <v>3777943.27</v>
      </c>
      <c r="C127" s="206">
        <f aca="true" t="shared" si="17" ref="C127:P127">C14+C21+C27+C46+C53+C86+C92+C115+C120+C123+C126</f>
        <v>1165575</v>
      </c>
      <c r="D127" s="206">
        <f t="shared" si="17"/>
        <v>58100</v>
      </c>
      <c r="E127" s="206">
        <f t="shared" si="17"/>
        <v>10000</v>
      </c>
      <c r="F127" s="206">
        <f t="shared" si="17"/>
        <v>1581742</v>
      </c>
      <c r="G127" s="206">
        <f t="shared" si="17"/>
        <v>255600</v>
      </c>
      <c r="H127" s="206">
        <f t="shared" si="17"/>
        <v>105000</v>
      </c>
      <c r="I127" s="206">
        <f t="shared" si="17"/>
        <v>957242</v>
      </c>
      <c r="J127" s="206">
        <f t="shared" si="17"/>
        <v>2094300</v>
      </c>
      <c r="K127" s="206">
        <f t="shared" si="17"/>
        <v>228405</v>
      </c>
      <c r="L127" s="206">
        <f t="shared" si="17"/>
        <v>135000</v>
      </c>
      <c r="M127" s="206">
        <f t="shared" si="17"/>
        <v>55000</v>
      </c>
      <c r="N127" s="206">
        <f t="shared" si="17"/>
        <v>131830</v>
      </c>
      <c r="O127" s="206">
        <f t="shared" si="17"/>
        <v>189573.51</v>
      </c>
      <c r="P127" s="206">
        <f t="shared" si="17"/>
        <v>1751097.21</v>
      </c>
      <c r="Q127" s="200">
        <f>SUM(B127:P127)</f>
        <v>12496407.989999998</v>
      </c>
    </row>
    <row r="128" spans="1:17" s="197" customFormat="1" ht="21" customHeight="1">
      <c r="A128" s="213"/>
      <c r="B128" s="221"/>
      <c r="C128" s="422" t="s">
        <v>7</v>
      </c>
      <c r="D128" s="422"/>
      <c r="E128" s="422"/>
      <c r="F128" s="217"/>
      <c r="G128" s="217"/>
      <c r="H128" s="221"/>
      <c r="I128" s="221"/>
      <c r="J128" s="414" t="s">
        <v>101</v>
      </c>
      <c r="K128" s="414"/>
      <c r="L128" s="414"/>
      <c r="M128" s="221"/>
      <c r="N128" s="221"/>
      <c r="O128" s="221"/>
      <c r="P128" s="221"/>
      <c r="Q128" s="221"/>
    </row>
    <row r="129" spans="1:17" s="197" customFormat="1" ht="21">
      <c r="A129" s="213"/>
      <c r="B129" s="215"/>
      <c r="C129" s="217"/>
      <c r="D129" s="217"/>
      <c r="E129" s="217"/>
      <c r="F129" s="217"/>
      <c r="G129" s="217"/>
      <c r="H129" s="215"/>
      <c r="I129" s="215"/>
      <c r="J129" s="93"/>
      <c r="K129" s="93"/>
      <c r="L129" s="93"/>
      <c r="M129" s="215"/>
      <c r="N129" s="215"/>
      <c r="O129" s="215"/>
      <c r="P129" s="215"/>
      <c r="Q129" s="215"/>
    </row>
    <row r="130" spans="1:17" s="197" customFormat="1" ht="21" customHeight="1">
      <c r="A130" s="213"/>
      <c r="B130" s="215"/>
      <c r="C130" s="422" t="s">
        <v>121</v>
      </c>
      <c r="D130" s="422"/>
      <c r="E130" s="422"/>
      <c r="F130" s="217"/>
      <c r="G130" s="217"/>
      <c r="H130" s="215"/>
      <c r="I130" s="215"/>
      <c r="J130" s="414" t="s">
        <v>246</v>
      </c>
      <c r="K130" s="414"/>
      <c r="L130" s="414"/>
      <c r="M130" s="215"/>
      <c r="N130" s="215"/>
      <c r="O130" s="215"/>
      <c r="P130" s="215"/>
      <c r="Q130" s="215"/>
    </row>
    <row r="131" spans="1:17" s="222" customFormat="1" ht="21" customHeight="1">
      <c r="A131" s="216"/>
      <c r="B131" s="215"/>
      <c r="C131" s="422" t="s">
        <v>111</v>
      </c>
      <c r="D131" s="422"/>
      <c r="E131" s="422"/>
      <c r="F131" s="217"/>
      <c r="G131" s="217"/>
      <c r="H131" s="215"/>
      <c r="I131" s="215"/>
      <c r="J131" s="414" t="s">
        <v>100</v>
      </c>
      <c r="K131" s="414"/>
      <c r="L131" s="414"/>
      <c r="M131" s="215"/>
      <c r="N131" s="215"/>
      <c r="O131" s="215"/>
      <c r="P131" s="215"/>
      <c r="Q131" s="215"/>
    </row>
  </sheetData>
  <mergeCells count="46">
    <mergeCell ref="C96:E96"/>
    <mergeCell ref="A69:Q69"/>
    <mergeCell ref="D70:E70"/>
    <mergeCell ref="B70:C70"/>
    <mergeCell ref="L70:M70"/>
    <mergeCell ref="I70:J70"/>
    <mergeCell ref="J96:L96"/>
    <mergeCell ref="C54:E54"/>
    <mergeCell ref="C57:E57"/>
    <mergeCell ref="C58:E58"/>
    <mergeCell ref="C93:E93"/>
    <mergeCell ref="I36:J36"/>
    <mergeCell ref="D36:E36"/>
    <mergeCell ref="B36:C36"/>
    <mergeCell ref="C29:E29"/>
    <mergeCell ref="A35:Q35"/>
    <mergeCell ref="C32:E32"/>
    <mergeCell ref="C31:E31"/>
    <mergeCell ref="J32:L32"/>
    <mergeCell ref="J31:L31"/>
    <mergeCell ref="C97:E97"/>
    <mergeCell ref="A1:Q1"/>
    <mergeCell ref="A2:Q2"/>
    <mergeCell ref="A3:Q3"/>
    <mergeCell ref="I4:J4"/>
    <mergeCell ref="L4:M4"/>
    <mergeCell ref="B4:C4"/>
    <mergeCell ref="D4:E4"/>
    <mergeCell ref="J29:L29"/>
    <mergeCell ref="L36:M36"/>
    <mergeCell ref="C131:E131"/>
    <mergeCell ref="C128:E128"/>
    <mergeCell ref="C130:E130"/>
    <mergeCell ref="A104:Q104"/>
    <mergeCell ref="B105:C105"/>
    <mergeCell ref="D105:E105"/>
    <mergeCell ref="I105:J105"/>
    <mergeCell ref="L105:M105"/>
    <mergeCell ref="J54:L54"/>
    <mergeCell ref="J57:L57"/>
    <mergeCell ref="J58:L58"/>
    <mergeCell ref="J93:L93"/>
    <mergeCell ref="J97:L97"/>
    <mergeCell ref="J128:L128"/>
    <mergeCell ref="J130:L130"/>
    <mergeCell ref="J131:L131"/>
  </mergeCells>
  <printOptions/>
  <pageMargins left="0.15748031496062992" right="0" top="0.5905511811023623" bottom="0" header="0.5118110236220472" footer="0.5118110236220472"/>
  <pageSetup horizontalDpi="180" verticalDpi="18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85" zoomScaleNormal="85" zoomScaleSheetLayoutView="100" workbookViewId="0" topLeftCell="C10">
      <selection activeCell="B32" sqref="B32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8.57421875" style="0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s="100" customFormat="1" ht="23.25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s="100" customFormat="1" ht="23.25">
      <c r="A2" s="363" t="s">
        <v>106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</row>
    <row r="3" spans="1:17" s="100" customFormat="1" ht="24" thickBot="1">
      <c r="A3" s="482" t="s">
        <v>301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</row>
    <row r="4" spans="1:17" s="491" customFormat="1" ht="21">
      <c r="A4" s="483" t="s">
        <v>16</v>
      </c>
      <c r="B4" s="484" t="s">
        <v>80</v>
      </c>
      <c r="C4" s="485" t="s">
        <v>82</v>
      </c>
      <c r="D4" s="486"/>
      <c r="E4" s="485" t="s">
        <v>85</v>
      </c>
      <c r="F4" s="486"/>
      <c r="G4" s="485" t="s">
        <v>86</v>
      </c>
      <c r="H4" s="486"/>
      <c r="I4" s="485" t="s">
        <v>87</v>
      </c>
      <c r="J4" s="487"/>
      <c r="K4" s="485" t="s">
        <v>91</v>
      </c>
      <c r="L4" s="486"/>
      <c r="M4" s="484" t="s">
        <v>92</v>
      </c>
      <c r="N4" s="488" t="s">
        <v>95</v>
      </c>
      <c r="O4" s="489" t="s">
        <v>96</v>
      </c>
      <c r="P4" s="489" t="s">
        <v>99</v>
      </c>
      <c r="Q4" s="490" t="s">
        <v>17</v>
      </c>
    </row>
    <row r="5" spans="1:17" s="491" customFormat="1" ht="21.75" thickBot="1">
      <c r="A5" s="492" t="s">
        <v>18</v>
      </c>
      <c r="B5" s="493" t="s">
        <v>81</v>
      </c>
      <c r="C5" s="494" t="s">
        <v>83</v>
      </c>
      <c r="D5" s="495" t="s">
        <v>84</v>
      </c>
      <c r="E5" s="493" t="s">
        <v>76</v>
      </c>
      <c r="F5" s="493" t="s">
        <v>77</v>
      </c>
      <c r="G5" s="493" t="s">
        <v>78</v>
      </c>
      <c r="H5" s="493" t="s">
        <v>79</v>
      </c>
      <c r="I5" s="495" t="s">
        <v>88</v>
      </c>
      <c r="J5" s="496" t="s">
        <v>89</v>
      </c>
      <c r="K5" s="494" t="s">
        <v>90</v>
      </c>
      <c r="L5" s="494" t="s">
        <v>109</v>
      </c>
      <c r="M5" s="494" t="s">
        <v>93</v>
      </c>
      <c r="N5" s="497" t="s">
        <v>94</v>
      </c>
      <c r="O5" s="498" t="s">
        <v>97</v>
      </c>
      <c r="P5" s="498" t="s">
        <v>98</v>
      </c>
      <c r="Q5" s="499"/>
    </row>
    <row r="6" spans="1:17" s="100" customFormat="1" ht="18.75" customHeight="1">
      <c r="A6" s="500" t="s">
        <v>273</v>
      </c>
      <c r="B6" s="501"/>
      <c r="C6" s="501"/>
      <c r="D6" s="502"/>
      <c r="E6" s="501"/>
      <c r="F6" s="501"/>
      <c r="G6" s="501"/>
      <c r="H6" s="501"/>
      <c r="I6" s="501"/>
      <c r="J6" s="503"/>
      <c r="K6" s="502"/>
      <c r="L6" s="502"/>
      <c r="M6" s="502"/>
      <c r="N6" s="503"/>
      <c r="O6" s="503"/>
      <c r="P6" s="503"/>
      <c r="Q6" s="503"/>
    </row>
    <row r="7" spans="1:17" s="100" customFormat="1" ht="21">
      <c r="A7" s="504" t="s">
        <v>237</v>
      </c>
      <c r="B7" s="505">
        <v>0</v>
      </c>
      <c r="C7" s="506">
        <v>0</v>
      </c>
      <c r="D7" s="507">
        <v>0</v>
      </c>
      <c r="E7" s="506">
        <v>0</v>
      </c>
      <c r="F7" s="506">
        <v>0</v>
      </c>
      <c r="G7" s="506">
        <v>0</v>
      </c>
      <c r="H7" s="506">
        <v>0</v>
      </c>
      <c r="I7" s="506">
        <v>0</v>
      </c>
      <c r="J7" s="506">
        <v>0</v>
      </c>
      <c r="K7" s="506">
        <v>0</v>
      </c>
      <c r="L7" s="506">
        <v>0</v>
      </c>
      <c r="M7" s="506">
        <v>0</v>
      </c>
      <c r="N7" s="506">
        <v>0</v>
      </c>
      <c r="O7" s="506">
        <v>0</v>
      </c>
      <c r="P7" s="506">
        <v>0</v>
      </c>
      <c r="Q7" s="506">
        <f>SUM(B7:P7)</f>
        <v>0</v>
      </c>
    </row>
    <row r="8" spans="1:17" s="100" customFormat="1" ht="21">
      <c r="A8" s="337" t="s">
        <v>19</v>
      </c>
      <c r="B8" s="505">
        <f aca="true" t="shared" si="0" ref="B8:P8">SUM(B7:B7)</f>
        <v>0</v>
      </c>
      <c r="C8" s="505">
        <f t="shared" si="0"/>
        <v>0</v>
      </c>
      <c r="D8" s="505">
        <f t="shared" si="0"/>
        <v>0</v>
      </c>
      <c r="E8" s="505">
        <f t="shared" si="0"/>
        <v>0</v>
      </c>
      <c r="F8" s="505">
        <f t="shared" si="0"/>
        <v>0</v>
      </c>
      <c r="G8" s="505">
        <f t="shared" si="0"/>
        <v>0</v>
      </c>
      <c r="H8" s="505">
        <f t="shared" si="0"/>
        <v>0</v>
      </c>
      <c r="I8" s="505">
        <f t="shared" si="0"/>
        <v>0</v>
      </c>
      <c r="J8" s="505">
        <f t="shared" si="0"/>
        <v>0</v>
      </c>
      <c r="K8" s="505">
        <f t="shared" si="0"/>
        <v>0</v>
      </c>
      <c r="L8" s="505">
        <f t="shared" si="0"/>
        <v>0</v>
      </c>
      <c r="M8" s="505">
        <f t="shared" si="0"/>
        <v>0</v>
      </c>
      <c r="N8" s="505">
        <f t="shared" si="0"/>
        <v>0</v>
      </c>
      <c r="O8" s="505">
        <f t="shared" si="0"/>
        <v>0</v>
      </c>
      <c r="P8" s="505">
        <f t="shared" si="0"/>
        <v>0</v>
      </c>
      <c r="Q8" s="506">
        <f>SUM(B8:P8)</f>
        <v>0</v>
      </c>
    </row>
    <row r="9" spans="1:17" s="511" customFormat="1" ht="21">
      <c r="A9" s="508" t="s">
        <v>20</v>
      </c>
      <c r="B9" s="509">
        <v>0</v>
      </c>
      <c r="C9" s="509">
        <f>0</f>
        <v>0</v>
      </c>
      <c r="D9" s="509">
        <f>0</f>
        <v>0</v>
      </c>
      <c r="E9" s="509">
        <f>0</f>
        <v>0</v>
      </c>
      <c r="F9" s="509">
        <f>0</f>
        <v>0</v>
      </c>
      <c r="G9" s="509">
        <f>0</f>
        <v>0</v>
      </c>
      <c r="H9" s="509">
        <f>0</f>
        <v>0</v>
      </c>
      <c r="I9" s="509">
        <f>0</f>
        <v>0</v>
      </c>
      <c r="J9" s="509">
        <f>0</f>
        <v>0</v>
      </c>
      <c r="K9" s="509">
        <f>0</f>
        <v>0</v>
      </c>
      <c r="L9" s="509">
        <f>0</f>
        <v>0</v>
      </c>
      <c r="M9" s="509">
        <f>0</f>
        <v>0</v>
      </c>
      <c r="N9" s="509">
        <f>0</f>
        <v>0</v>
      </c>
      <c r="O9" s="509">
        <f>0</f>
        <v>0</v>
      </c>
      <c r="P9" s="509">
        <f>0</f>
        <v>0</v>
      </c>
      <c r="Q9" s="510">
        <f>SUM(B9:P9)</f>
        <v>0</v>
      </c>
    </row>
    <row r="10" spans="1:17" s="100" customFormat="1" ht="20.25" customHeight="1">
      <c r="A10" s="512" t="s">
        <v>274</v>
      </c>
      <c r="B10" s="505"/>
      <c r="C10" s="506"/>
      <c r="D10" s="507"/>
      <c r="E10" s="506"/>
      <c r="F10" s="506"/>
      <c r="G10" s="506"/>
      <c r="H10" s="506"/>
      <c r="I10" s="506"/>
      <c r="J10" s="506"/>
      <c r="K10" s="507"/>
      <c r="L10" s="507"/>
      <c r="M10" s="507"/>
      <c r="N10" s="506"/>
      <c r="O10" s="506"/>
      <c r="P10" s="506"/>
      <c r="Q10" s="506"/>
    </row>
    <row r="11" spans="1:17" s="100" customFormat="1" ht="21">
      <c r="A11" s="337">
        <v>210100</v>
      </c>
      <c r="B11" s="505">
        <v>0</v>
      </c>
      <c r="C11" s="505">
        <v>0</v>
      </c>
      <c r="D11" s="505">
        <v>0</v>
      </c>
      <c r="E11" s="505">
        <v>0</v>
      </c>
      <c r="F11" s="505">
        <v>0</v>
      </c>
      <c r="G11" s="505">
        <v>0</v>
      </c>
      <c r="H11" s="505">
        <v>0</v>
      </c>
      <c r="I11" s="505">
        <v>0</v>
      </c>
      <c r="J11" s="505">
        <v>0</v>
      </c>
      <c r="K11" s="505">
        <v>0</v>
      </c>
      <c r="L11" s="505">
        <v>0</v>
      </c>
      <c r="M11" s="505">
        <v>0</v>
      </c>
      <c r="N11" s="505">
        <v>0</v>
      </c>
      <c r="O11" s="505">
        <v>0</v>
      </c>
      <c r="P11" s="505">
        <v>0</v>
      </c>
      <c r="Q11" s="506">
        <f>SUM(B11:P11)</f>
        <v>0</v>
      </c>
    </row>
    <row r="12" spans="1:17" s="100" customFormat="1" ht="21">
      <c r="A12" s="337" t="s">
        <v>19</v>
      </c>
      <c r="B12" s="505">
        <f aca="true" t="shared" si="1" ref="B12:P12">SUM(B11:B11)</f>
        <v>0</v>
      </c>
      <c r="C12" s="505">
        <f t="shared" si="1"/>
        <v>0</v>
      </c>
      <c r="D12" s="505">
        <f t="shared" si="1"/>
        <v>0</v>
      </c>
      <c r="E12" s="505">
        <f t="shared" si="1"/>
        <v>0</v>
      </c>
      <c r="F12" s="505">
        <f t="shared" si="1"/>
        <v>0</v>
      </c>
      <c r="G12" s="505">
        <f t="shared" si="1"/>
        <v>0</v>
      </c>
      <c r="H12" s="505">
        <f t="shared" si="1"/>
        <v>0</v>
      </c>
      <c r="I12" s="505">
        <f t="shared" si="1"/>
        <v>0</v>
      </c>
      <c r="J12" s="505">
        <f t="shared" si="1"/>
        <v>0</v>
      </c>
      <c r="K12" s="505">
        <f t="shared" si="1"/>
        <v>0</v>
      </c>
      <c r="L12" s="505">
        <f t="shared" si="1"/>
        <v>0</v>
      </c>
      <c r="M12" s="505">
        <f t="shared" si="1"/>
        <v>0</v>
      </c>
      <c r="N12" s="505">
        <f t="shared" si="1"/>
        <v>0</v>
      </c>
      <c r="O12" s="505">
        <f t="shared" si="1"/>
        <v>0</v>
      </c>
      <c r="P12" s="505">
        <f t="shared" si="1"/>
        <v>0</v>
      </c>
      <c r="Q12" s="506">
        <f>SUM(B12:P12)</f>
        <v>0</v>
      </c>
    </row>
    <row r="13" spans="1:17" s="511" customFormat="1" ht="21">
      <c r="A13" s="508" t="s">
        <v>20</v>
      </c>
      <c r="B13" s="509">
        <f>0</f>
        <v>0</v>
      </c>
      <c r="C13" s="509">
        <v>0</v>
      </c>
      <c r="D13" s="509">
        <v>0</v>
      </c>
      <c r="E13" s="509">
        <f>0</f>
        <v>0</v>
      </c>
      <c r="F13" s="509">
        <f>0</f>
        <v>0</v>
      </c>
      <c r="G13" s="509">
        <v>0</v>
      </c>
      <c r="H13" s="509">
        <f>0</f>
        <v>0</v>
      </c>
      <c r="I13" s="509">
        <f>0</f>
        <v>0</v>
      </c>
      <c r="J13" s="509">
        <f>0</f>
        <v>0</v>
      </c>
      <c r="K13" s="509">
        <f>0</f>
        <v>0</v>
      </c>
      <c r="L13" s="509">
        <f>0</f>
        <v>0</v>
      </c>
      <c r="M13" s="509">
        <f>0</f>
        <v>0</v>
      </c>
      <c r="N13" s="509">
        <f>0</f>
        <v>0</v>
      </c>
      <c r="O13" s="509">
        <f>0</f>
        <v>0</v>
      </c>
      <c r="P13" s="509">
        <f>0</f>
        <v>0</v>
      </c>
      <c r="Q13" s="510">
        <f>SUM(B13:P13)</f>
        <v>0</v>
      </c>
    </row>
    <row r="14" spans="1:17" s="100" customFormat="1" ht="20.25" customHeight="1">
      <c r="A14" s="512" t="s">
        <v>275</v>
      </c>
      <c r="B14" s="505"/>
      <c r="C14" s="505"/>
      <c r="D14" s="513"/>
      <c r="E14" s="506"/>
      <c r="F14" s="506"/>
      <c r="G14" s="506"/>
      <c r="H14" s="505"/>
      <c r="I14" s="506"/>
      <c r="J14" s="506"/>
      <c r="K14" s="507"/>
      <c r="L14" s="507"/>
      <c r="M14" s="507"/>
      <c r="N14" s="506"/>
      <c r="O14" s="506"/>
      <c r="P14" s="506"/>
      <c r="Q14" s="506"/>
    </row>
    <row r="15" spans="1:17" s="100" customFormat="1" ht="21">
      <c r="A15" s="337">
        <v>220100</v>
      </c>
      <c r="B15" s="505">
        <v>0</v>
      </c>
      <c r="C15" s="505">
        <v>0</v>
      </c>
      <c r="D15" s="505">
        <v>0</v>
      </c>
      <c r="E15" s="505">
        <v>0</v>
      </c>
      <c r="F15" s="505">
        <v>0</v>
      </c>
      <c r="G15" s="505"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5">
        <v>0</v>
      </c>
      <c r="P15" s="505">
        <v>0</v>
      </c>
      <c r="Q15" s="506">
        <f>SUM(B15:P15)</f>
        <v>0</v>
      </c>
    </row>
    <row r="16" spans="1:17" s="100" customFormat="1" ht="21">
      <c r="A16" s="337" t="s">
        <v>19</v>
      </c>
      <c r="B16" s="505">
        <f aca="true" t="shared" si="2" ref="B16:P16">B15</f>
        <v>0</v>
      </c>
      <c r="C16" s="505">
        <f t="shared" si="2"/>
        <v>0</v>
      </c>
      <c r="D16" s="505">
        <f t="shared" si="2"/>
        <v>0</v>
      </c>
      <c r="E16" s="505">
        <f t="shared" si="2"/>
        <v>0</v>
      </c>
      <c r="F16" s="505">
        <f t="shared" si="2"/>
        <v>0</v>
      </c>
      <c r="G16" s="505">
        <f t="shared" si="2"/>
        <v>0</v>
      </c>
      <c r="H16" s="505">
        <f t="shared" si="2"/>
        <v>0</v>
      </c>
      <c r="I16" s="505">
        <f t="shared" si="2"/>
        <v>0</v>
      </c>
      <c r="J16" s="505">
        <f t="shared" si="2"/>
        <v>0</v>
      </c>
      <c r="K16" s="505">
        <f t="shared" si="2"/>
        <v>0</v>
      </c>
      <c r="L16" s="505">
        <f t="shared" si="2"/>
        <v>0</v>
      </c>
      <c r="M16" s="505">
        <f t="shared" si="2"/>
        <v>0</v>
      </c>
      <c r="N16" s="505">
        <f t="shared" si="2"/>
        <v>0</v>
      </c>
      <c r="O16" s="505">
        <f t="shared" si="2"/>
        <v>0</v>
      </c>
      <c r="P16" s="505">
        <f t="shared" si="2"/>
        <v>0</v>
      </c>
      <c r="Q16" s="506">
        <f>SUM(B16:P16)</f>
        <v>0</v>
      </c>
    </row>
    <row r="17" spans="1:17" s="511" customFormat="1" ht="21">
      <c r="A17" s="508" t="s">
        <v>20</v>
      </c>
      <c r="B17" s="509">
        <f>0</f>
        <v>0</v>
      </c>
      <c r="C17" s="509">
        <v>0</v>
      </c>
      <c r="D17" s="509">
        <v>0</v>
      </c>
      <c r="E17" s="509">
        <f>0</f>
        <v>0</v>
      </c>
      <c r="F17" s="509">
        <f>0</f>
        <v>0</v>
      </c>
      <c r="G17" s="509">
        <f>0</f>
        <v>0</v>
      </c>
      <c r="H17" s="509">
        <f>0</f>
        <v>0</v>
      </c>
      <c r="I17" s="509">
        <f>0</f>
        <v>0</v>
      </c>
      <c r="J17" s="514">
        <f>0</f>
        <v>0</v>
      </c>
      <c r="K17" s="509">
        <f>0</f>
        <v>0</v>
      </c>
      <c r="L17" s="509">
        <f>0</f>
        <v>0</v>
      </c>
      <c r="M17" s="509">
        <f>0</f>
        <v>0</v>
      </c>
      <c r="N17" s="509">
        <f>0</f>
        <v>0</v>
      </c>
      <c r="O17" s="509">
        <f>0</f>
        <v>0</v>
      </c>
      <c r="P17" s="509">
        <f>0</f>
        <v>0</v>
      </c>
      <c r="Q17" s="510">
        <f>SUM(B17:P17)</f>
        <v>0</v>
      </c>
    </row>
    <row r="18" spans="1:17" s="100" customFormat="1" ht="20.25" customHeight="1">
      <c r="A18" s="247" t="s">
        <v>276</v>
      </c>
      <c r="B18" s="515"/>
      <c r="C18" s="515"/>
      <c r="D18" s="516"/>
      <c r="E18" s="501"/>
      <c r="F18" s="501"/>
      <c r="G18" s="501"/>
      <c r="H18" s="515"/>
      <c r="I18" s="501"/>
      <c r="J18" s="506"/>
      <c r="K18" s="502"/>
      <c r="L18" s="502"/>
      <c r="M18" s="502"/>
      <c r="N18" s="501"/>
      <c r="O18" s="506"/>
      <c r="P18" s="506"/>
      <c r="Q18" s="506"/>
    </row>
    <row r="19" spans="1:17" s="100" customFormat="1" ht="21">
      <c r="A19" s="337">
        <v>310300</v>
      </c>
      <c r="B19" s="505">
        <v>0</v>
      </c>
      <c r="C19" s="505">
        <v>0</v>
      </c>
      <c r="D19" s="505">
        <v>0</v>
      </c>
      <c r="E19" s="505">
        <v>0</v>
      </c>
      <c r="F19" s="505">
        <v>0</v>
      </c>
      <c r="G19" s="505">
        <v>0</v>
      </c>
      <c r="H19" s="505">
        <v>0</v>
      </c>
      <c r="I19" s="505">
        <v>0</v>
      </c>
      <c r="J19" s="505"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6">
        <f>SUM(B19:P19)</f>
        <v>0</v>
      </c>
    </row>
    <row r="20" spans="1:17" s="100" customFormat="1" ht="21">
      <c r="A20" s="337" t="s">
        <v>19</v>
      </c>
      <c r="B20" s="505">
        <f aca="true" t="shared" si="3" ref="B20:P20">SUM(B19:B19)</f>
        <v>0</v>
      </c>
      <c r="C20" s="505">
        <f t="shared" si="3"/>
        <v>0</v>
      </c>
      <c r="D20" s="505">
        <f t="shared" si="3"/>
        <v>0</v>
      </c>
      <c r="E20" s="505">
        <f t="shared" si="3"/>
        <v>0</v>
      </c>
      <c r="F20" s="505">
        <f t="shared" si="3"/>
        <v>0</v>
      </c>
      <c r="G20" s="505">
        <f t="shared" si="3"/>
        <v>0</v>
      </c>
      <c r="H20" s="505">
        <f t="shared" si="3"/>
        <v>0</v>
      </c>
      <c r="I20" s="505">
        <f t="shared" si="3"/>
        <v>0</v>
      </c>
      <c r="J20" s="505">
        <f t="shared" si="3"/>
        <v>0</v>
      </c>
      <c r="K20" s="505">
        <f t="shared" si="3"/>
        <v>0</v>
      </c>
      <c r="L20" s="505">
        <f t="shared" si="3"/>
        <v>0</v>
      </c>
      <c r="M20" s="505">
        <f t="shared" si="3"/>
        <v>0</v>
      </c>
      <c r="N20" s="505">
        <f t="shared" si="3"/>
        <v>0</v>
      </c>
      <c r="O20" s="505">
        <f t="shared" si="3"/>
        <v>0</v>
      </c>
      <c r="P20" s="505">
        <f t="shared" si="3"/>
        <v>0</v>
      </c>
      <c r="Q20" s="506">
        <f>SUM(B20:P20)</f>
        <v>0</v>
      </c>
    </row>
    <row r="21" spans="1:17" s="511" customFormat="1" ht="21">
      <c r="A21" s="508" t="s">
        <v>20</v>
      </c>
      <c r="B21" s="509">
        <f>0</f>
        <v>0</v>
      </c>
      <c r="C21" s="509">
        <v>0</v>
      </c>
      <c r="D21" s="509">
        <v>0</v>
      </c>
      <c r="E21" s="509">
        <f>0</f>
        <v>0</v>
      </c>
      <c r="F21" s="509">
        <f>0</f>
        <v>0</v>
      </c>
      <c r="G21" s="509">
        <v>0</v>
      </c>
      <c r="H21" s="509">
        <f>0</f>
        <v>0</v>
      </c>
      <c r="I21" s="509">
        <f>0</f>
        <v>0</v>
      </c>
      <c r="J21" s="509">
        <f>0</f>
        <v>0</v>
      </c>
      <c r="K21" s="509">
        <f>0</f>
        <v>0</v>
      </c>
      <c r="L21" s="509">
        <v>0</v>
      </c>
      <c r="M21" s="509">
        <f>0</f>
        <v>0</v>
      </c>
      <c r="N21" s="509">
        <f>0</f>
        <v>0</v>
      </c>
      <c r="O21" s="509">
        <f>0</f>
        <v>0</v>
      </c>
      <c r="P21" s="509">
        <f>0</f>
        <v>0</v>
      </c>
      <c r="Q21" s="510">
        <f>SUM(B21:P21)</f>
        <v>0</v>
      </c>
    </row>
    <row r="22" spans="1:17" s="100" customFormat="1" ht="20.25" customHeight="1">
      <c r="A22" s="512" t="s">
        <v>277</v>
      </c>
      <c r="B22" s="505"/>
      <c r="C22" s="505"/>
      <c r="D22" s="513"/>
      <c r="E22" s="506"/>
      <c r="F22" s="506"/>
      <c r="G22" s="506"/>
      <c r="H22" s="505"/>
      <c r="I22" s="506"/>
      <c r="J22" s="506"/>
      <c r="K22" s="507"/>
      <c r="L22" s="507"/>
      <c r="M22" s="507"/>
      <c r="N22" s="505"/>
      <c r="O22" s="506"/>
      <c r="P22" s="506"/>
      <c r="Q22" s="506"/>
    </row>
    <row r="23" spans="1:17" s="100" customFormat="1" ht="21">
      <c r="A23" s="337">
        <v>320100</v>
      </c>
      <c r="B23" s="505">
        <v>0</v>
      </c>
      <c r="C23" s="505">
        <v>0</v>
      </c>
      <c r="D23" s="505">
        <v>0</v>
      </c>
      <c r="E23" s="505">
        <v>0</v>
      </c>
      <c r="F23" s="505">
        <v>0</v>
      </c>
      <c r="G23" s="505">
        <v>0</v>
      </c>
      <c r="H23" s="505">
        <v>0</v>
      </c>
      <c r="I23" s="505">
        <v>0</v>
      </c>
      <c r="J23" s="505">
        <v>0</v>
      </c>
      <c r="K23" s="505">
        <v>0</v>
      </c>
      <c r="L23" s="505">
        <v>0</v>
      </c>
      <c r="M23" s="505">
        <v>0</v>
      </c>
      <c r="N23" s="505">
        <v>0</v>
      </c>
      <c r="O23" s="505">
        <v>0</v>
      </c>
      <c r="P23" s="505">
        <v>0</v>
      </c>
      <c r="Q23" s="506">
        <f>SUM(B23:P23)</f>
        <v>0</v>
      </c>
    </row>
    <row r="24" spans="1:17" s="100" customFormat="1" ht="21">
      <c r="A24" s="337" t="s">
        <v>19</v>
      </c>
      <c r="B24" s="505">
        <f aca="true" t="shared" si="4" ref="B24:P24">SUM(B23:B23)</f>
        <v>0</v>
      </c>
      <c r="C24" s="505">
        <f t="shared" si="4"/>
        <v>0</v>
      </c>
      <c r="D24" s="505">
        <f t="shared" si="4"/>
        <v>0</v>
      </c>
      <c r="E24" s="505">
        <f t="shared" si="4"/>
        <v>0</v>
      </c>
      <c r="F24" s="505">
        <f t="shared" si="4"/>
        <v>0</v>
      </c>
      <c r="G24" s="505">
        <f t="shared" si="4"/>
        <v>0</v>
      </c>
      <c r="H24" s="505">
        <f t="shared" si="4"/>
        <v>0</v>
      </c>
      <c r="I24" s="505">
        <f t="shared" si="4"/>
        <v>0</v>
      </c>
      <c r="J24" s="505">
        <f t="shared" si="4"/>
        <v>0</v>
      </c>
      <c r="K24" s="505">
        <f t="shared" si="4"/>
        <v>0</v>
      </c>
      <c r="L24" s="505">
        <f t="shared" si="4"/>
        <v>0</v>
      </c>
      <c r="M24" s="505">
        <f t="shared" si="4"/>
        <v>0</v>
      </c>
      <c r="N24" s="505">
        <f t="shared" si="4"/>
        <v>0</v>
      </c>
      <c r="O24" s="505">
        <f t="shared" si="4"/>
        <v>0</v>
      </c>
      <c r="P24" s="505">
        <f t="shared" si="4"/>
        <v>0</v>
      </c>
      <c r="Q24" s="506">
        <f>SUM(B24:P24)</f>
        <v>0</v>
      </c>
    </row>
    <row r="25" spans="1:17" s="511" customFormat="1" ht="21">
      <c r="A25" s="517" t="s">
        <v>20</v>
      </c>
      <c r="B25" s="509">
        <f>0</f>
        <v>0</v>
      </c>
      <c r="C25" s="509">
        <v>0</v>
      </c>
      <c r="D25" s="509">
        <f>0</f>
        <v>0</v>
      </c>
      <c r="E25" s="509">
        <f>0</f>
        <v>0</v>
      </c>
      <c r="F25" s="509">
        <f>0</f>
        <v>0</v>
      </c>
      <c r="G25" s="509">
        <v>0</v>
      </c>
      <c r="H25" s="509">
        <f>0</f>
        <v>0</v>
      </c>
      <c r="I25" s="509">
        <f>0</f>
        <v>0</v>
      </c>
      <c r="J25" s="509">
        <f>0</f>
        <v>0</v>
      </c>
      <c r="K25" s="509">
        <f>0</f>
        <v>0</v>
      </c>
      <c r="L25" s="509">
        <v>0</v>
      </c>
      <c r="M25" s="509">
        <f>0</f>
        <v>0</v>
      </c>
      <c r="N25" s="509">
        <f>0</f>
        <v>0</v>
      </c>
      <c r="O25" s="509">
        <f>0</f>
        <v>0</v>
      </c>
      <c r="P25" s="509">
        <f>0</f>
        <v>0</v>
      </c>
      <c r="Q25" s="510">
        <f>SUM(B25:P25)</f>
        <v>0</v>
      </c>
    </row>
    <row r="26" spans="1:17" s="100" customFormat="1" ht="18" customHeight="1">
      <c r="A26" s="512" t="s">
        <v>278</v>
      </c>
      <c r="B26" s="515"/>
      <c r="C26" s="505"/>
      <c r="D26" s="516"/>
      <c r="E26" s="501"/>
      <c r="F26" s="505"/>
      <c r="G26" s="505"/>
      <c r="H26" s="505"/>
      <c r="I26" s="518"/>
      <c r="J26" s="515"/>
      <c r="K26" s="513"/>
      <c r="L26" s="516"/>
      <c r="M26" s="502"/>
      <c r="N26" s="505"/>
      <c r="O26" s="506"/>
      <c r="P26" s="506"/>
      <c r="Q26" s="506"/>
    </row>
    <row r="27" spans="1:17" s="100" customFormat="1" ht="21">
      <c r="A27" s="337">
        <v>331700</v>
      </c>
      <c r="B27" s="505">
        <v>0</v>
      </c>
      <c r="C27" s="505">
        <v>0</v>
      </c>
      <c r="D27" s="505">
        <v>0</v>
      </c>
      <c r="E27" s="505">
        <v>0</v>
      </c>
      <c r="F27" s="505">
        <v>0</v>
      </c>
      <c r="G27" s="505">
        <v>0</v>
      </c>
      <c r="H27" s="505">
        <v>0</v>
      </c>
      <c r="I27" s="505">
        <v>0</v>
      </c>
      <c r="J27" s="505">
        <v>0</v>
      </c>
      <c r="K27" s="505">
        <v>0</v>
      </c>
      <c r="L27" s="505">
        <v>0</v>
      </c>
      <c r="M27" s="505">
        <v>0</v>
      </c>
      <c r="N27" s="505">
        <v>0</v>
      </c>
      <c r="O27" s="505">
        <v>0</v>
      </c>
      <c r="P27" s="505">
        <v>0</v>
      </c>
      <c r="Q27" s="506">
        <f>SUM(B27:P27)</f>
        <v>0</v>
      </c>
    </row>
    <row r="28" spans="1:17" s="100" customFormat="1" ht="21">
      <c r="A28" s="337" t="s">
        <v>19</v>
      </c>
      <c r="B28" s="505">
        <f aca="true" t="shared" si="5" ref="B28:P28">SUM(B27:B27)</f>
        <v>0</v>
      </c>
      <c r="C28" s="505">
        <f t="shared" si="5"/>
        <v>0</v>
      </c>
      <c r="D28" s="505">
        <f t="shared" si="5"/>
        <v>0</v>
      </c>
      <c r="E28" s="505">
        <f t="shared" si="5"/>
        <v>0</v>
      </c>
      <c r="F28" s="505">
        <f t="shared" si="5"/>
        <v>0</v>
      </c>
      <c r="G28" s="505">
        <f t="shared" si="5"/>
        <v>0</v>
      </c>
      <c r="H28" s="505">
        <f t="shared" si="5"/>
        <v>0</v>
      </c>
      <c r="I28" s="505">
        <f t="shared" si="5"/>
        <v>0</v>
      </c>
      <c r="J28" s="505">
        <f t="shared" si="5"/>
        <v>0</v>
      </c>
      <c r="K28" s="505">
        <f t="shared" si="5"/>
        <v>0</v>
      </c>
      <c r="L28" s="505">
        <f t="shared" si="5"/>
        <v>0</v>
      </c>
      <c r="M28" s="505">
        <f t="shared" si="5"/>
        <v>0</v>
      </c>
      <c r="N28" s="505">
        <f t="shared" si="5"/>
        <v>0</v>
      </c>
      <c r="O28" s="505">
        <f t="shared" si="5"/>
        <v>0</v>
      </c>
      <c r="P28" s="505">
        <f t="shared" si="5"/>
        <v>0</v>
      </c>
      <c r="Q28" s="506">
        <f>SUM(B28:P28)</f>
        <v>0</v>
      </c>
    </row>
    <row r="29" spans="1:17" s="511" customFormat="1" ht="21">
      <c r="A29" s="508" t="s">
        <v>20</v>
      </c>
      <c r="B29" s="509">
        <f>0</f>
        <v>0</v>
      </c>
      <c r="C29" s="509">
        <v>0</v>
      </c>
      <c r="D29" s="509">
        <v>0</v>
      </c>
      <c r="E29" s="509">
        <f>0</f>
        <v>0</v>
      </c>
      <c r="F29" s="509">
        <f>0</f>
        <v>0</v>
      </c>
      <c r="G29" s="509">
        <v>0</v>
      </c>
      <c r="H29" s="509">
        <f>0</f>
        <v>0</v>
      </c>
      <c r="I29" s="509">
        <f>0</f>
        <v>0</v>
      </c>
      <c r="J29" s="509">
        <f>0</f>
        <v>0</v>
      </c>
      <c r="K29" s="509">
        <v>0</v>
      </c>
      <c r="L29" s="509">
        <v>0</v>
      </c>
      <c r="M29" s="509">
        <f>0</f>
        <v>0</v>
      </c>
      <c r="N29" s="509">
        <f>0</f>
        <v>0</v>
      </c>
      <c r="O29" s="509">
        <f>0</f>
        <v>0</v>
      </c>
      <c r="P29" s="509">
        <f>0</f>
        <v>0</v>
      </c>
      <c r="Q29" s="510">
        <f>SUM(B29:P29)</f>
        <v>0</v>
      </c>
    </row>
    <row r="30" spans="1:17" s="511" customFormat="1" ht="21">
      <c r="A30" s="519"/>
      <c r="B30" s="520"/>
      <c r="C30" s="520"/>
      <c r="D30" s="521" t="s">
        <v>7</v>
      </c>
      <c r="E30" s="521"/>
      <c r="F30" s="521"/>
      <c r="G30" s="521"/>
      <c r="H30" s="522"/>
      <c r="I30" s="522"/>
      <c r="J30" s="522"/>
      <c r="K30" s="521" t="s">
        <v>101</v>
      </c>
      <c r="L30" s="521"/>
      <c r="M30" s="521"/>
      <c r="N30" s="520"/>
      <c r="O30" s="520"/>
      <c r="P30" s="520"/>
      <c r="Q30" s="523"/>
    </row>
    <row r="31" spans="1:17" s="511" customFormat="1" ht="21">
      <c r="A31" s="353"/>
      <c r="B31" s="524"/>
      <c r="C31" s="524"/>
      <c r="D31" s="525"/>
      <c r="E31" s="525"/>
      <c r="F31" s="525"/>
      <c r="G31" s="525"/>
      <c r="H31" s="522"/>
      <c r="I31" s="522"/>
      <c r="J31" s="522"/>
      <c r="K31" s="525"/>
      <c r="L31" s="525"/>
      <c r="M31" s="525"/>
      <c r="N31" s="524"/>
      <c r="O31" s="524"/>
      <c r="P31" s="524"/>
      <c r="Q31" s="526"/>
    </row>
    <row r="32" spans="1:17" s="511" customFormat="1" ht="21">
      <c r="A32" s="519"/>
      <c r="B32" s="520"/>
      <c r="C32" s="520"/>
      <c r="D32" s="527" t="s">
        <v>121</v>
      </c>
      <c r="E32" s="527"/>
      <c r="F32" s="527"/>
      <c r="G32" s="527"/>
      <c r="H32" s="522"/>
      <c r="I32" s="522"/>
      <c r="J32" s="522"/>
      <c r="K32" s="527" t="s">
        <v>102</v>
      </c>
      <c r="L32" s="527"/>
      <c r="M32" s="527"/>
      <c r="N32" s="520"/>
      <c r="O32" s="520"/>
      <c r="P32" s="520"/>
      <c r="Q32" s="523"/>
    </row>
    <row r="33" spans="1:17" s="511" customFormat="1" ht="21">
      <c r="A33" s="519"/>
      <c r="B33" s="520"/>
      <c r="C33" s="520"/>
      <c r="D33" s="527" t="s">
        <v>111</v>
      </c>
      <c r="E33" s="527"/>
      <c r="F33" s="527"/>
      <c r="G33" s="527"/>
      <c r="H33" s="522"/>
      <c r="I33" s="522"/>
      <c r="J33" s="522"/>
      <c r="K33" s="527" t="s">
        <v>100</v>
      </c>
      <c r="L33" s="527"/>
      <c r="M33" s="527"/>
      <c r="N33" s="520"/>
      <c r="O33" s="520"/>
      <c r="P33" s="520"/>
      <c r="Q33" s="523"/>
    </row>
    <row r="34" spans="1:17" s="100" customFormat="1" ht="21.75" thickBot="1">
      <c r="A34" s="528" t="s">
        <v>21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</row>
    <row r="35" spans="1:17" s="491" customFormat="1" ht="21">
      <c r="A35" s="483" t="s">
        <v>16</v>
      </c>
      <c r="B35" s="484" t="s">
        <v>80</v>
      </c>
      <c r="C35" s="485" t="s">
        <v>82</v>
      </c>
      <c r="D35" s="486"/>
      <c r="E35" s="485" t="s">
        <v>85</v>
      </c>
      <c r="F35" s="486"/>
      <c r="G35" s="485" t="s">
        <v>86</v>
      </c>
      <c r="H35" s="486"/>
      <c r="I35" s="485" t="s">
        <v>87</v>
      </c>
      <c r="J35" s="487"/>
      <c r="K35" s="485" t="s">
        <v>91</v>
      </c>
      <c r="L35" s="486"/>
      <c r="M35" s="484" t="s">
        <v>92</v>
      </c>
      <c r="N35" s="488" t="s">
        <v>95</v>
      </c>
      <c r="O35" s="489" t="s">
        <v>96</v>
      </c>
      <c r="P35" s="489" t="s">
        <v>99</v>
      </c>
      <c r="Q35" s="490" t="s">
        <v>17</v>
      </c>
    </row>
    <row r="36" spans="1:17" s="491" customFormat="1" ht="21.75" thickBot="1">
      <c r="A36" s="492" t="s">
        <v>18</v>
      </c>
      <c r="B36" s="493" t="s">
        <v>81</v>
      </c>
      <c r="C36" s="494" t="s">
        <v>83</v>
      </c>
      <c r="D36" s="495" t="s">
        <v>84</v>
      </c>
      <c r="E36" s="493" t="s">
        <v>76</v>
      </c>
      <c r="F36" s="493" t="s">
        <v>77</v>
      </c>
      <c r="G36" s="493" t="s">
        <v>78</v>
      </c>
      <c r="H36" s="493" t="s">
        <v>79</v>
      </c>
      <c r="I36" s="495" t="s">
        <v>88</v>
      </c>
      <c r="J36" s="496" t="s">
        <v>89</v>
      </c>
      <c r="K36" s="494" t="s">
        <v>110</v>
      </c>
      <c r="L36" s="494" t="s">
        <v>109</v>
      </c>
      <c r="M36" s="494" t="s">
        <v>93</v>
      </c>
      <c r="N36" s="497" t="s">
        <v>94</v>
      </c>
      <c r="O36" s="498" t="s">
        <v>97</v>
      </c>
      <c r="P36" s="498" t="s">
        <v>98</v>
      </c>
      <c r="Q36" s="499"/>
    </row>
    <row r="37" spans="1:17" s="100" customFormat="1" ht="21">
      <c r="A37" s="512" t="s">
        <v>303</v>
      </c>
      <c r="B37" s="506"/>
      <c r="C37" s="505"/>
      <c r="D37" s="507"/>
      <c r="E37" s="506"/>
      <c r="F37" s="506"/>
      <c r="G37" s="506"/>
      <c r="H37" s="506"/>
      <c r="I37" s="506"/>
      <c r="J37" s="506"/>
      <c r="K37" s="507"/>
      <c r="L37" s="507"/>
      <c r="M37" s="506"/>
      <c r="N37" s="505"/>
      <c r="O37" s="506"/>
      <c r="P37" s="506"/>
      <c r="Q37" s="506"/>
    </row>
    <row r="38" spans="1:17" s="100" customFormat="1" ht="21">
      <c r="A38" s="337">
        <v>340100</v>
      </c>
      <c r="B38" s="505">
        <v>0</v>
      </c>
      <c r="C38" s="505">
        <v>0</v>
      </c>
      <c r="D38" s="505">
        <v>0</v>
      </c>
      <c r="E38" s="505">
        <v>0</v>
      </c>
      <c r="F38" s="505">
        <v>0</v>
      </c>
      <c r="G38" s="505">
        <v>0</v>
      </c>
      <c r="H38" s="505">
        <v>0</v>
      </c>
      <c r="I38" s="505">
        <v>0</v>
      </c>
      <c r="J38" s="505">
        <v>0</v>
      </c>
      <c r="K38" s="505">
        <v>0</v>
      </c>
      <c r="L38" s="505">
        <v>0</v>
      </c>
      <c r="M38" s="505">
        <v>0</v>
      </c>
      <c r="N38" s="505">
        <v>0</v>
      </c>
      <c r="O38" s="505">
        <v>0</v>
      </c>
      <c r="P38" s="505">
        <v>0</v>
      </c>
      <c r="Q38" s="506">
        <f>SUM(B38:P38)</f>
        <v>0</v>
      </c>
    </row>
    <row r="39" spans="1:17" s="100" customFormat="1" ht="21">
      <c r="A39" s="337" t="s">
        <v>19</v>
      </c>
      <c r="B39" s="506">
        <f aca="true" t="shared" si="6" ref="B39:K39">SUM(B38:B38)</f>
        <v>0</v>
      </c>
      <c r="C39" s="506">
        <f t="shared" si="6"/>
        <v>0</v>
      </c>
      <c r="D39" s="506">
        <f t="shared" si="6"/>
        <v>0</v>
      </c>
      <c r="E39" s="506">
        <f t="shared" si="6"/>
        <v>0</v>
      </c>
      <c r="F39" s="506">
        <f t="shared" si="6"/>
        <v>0</v>
      </c>
      <c r="G39" s="506">
        <f t="shared" si="6"/>
        <v>0</v>
      </c>
      <c r="H39" s="506">
        <f t="shared" si="6"/>
        <v>0</v>
      </c>
      <c r="I39" s="506">
        <f t="shared" si="6"/>
        <v>0</v>
      </c>
      <c r="J39" s="506">
        <f t="shared" si="6"/>
        <v>0</v>
      </c>
      <c r="K39" s="506">
        <f t="shared" si="6"/>
        <v>0</v>
      </c>
      <c r="L39" s="506">
        <v>0</v>
      </c>
      <c r="M39" s="506">
        <f>SUM(M38:M38)</f>
        <v>0</v>
      </c>
      <c r="N39" s="506">
        <f>SUM(N38:N38)</f>
        <v>0</v>
      </c>
      <c r="O39" s="506">
        <f>SUM(O38:O38)</f>
        <v>0</v>
      </c>
      <c r="P39" s="506">
        <f>SUM(P38:P38)</f>
        <v>0</v>
      </c>
      <c r="Q39" s="506">
        <f>SUM(B39:P39)</f>
        <v>0</v>
      </c>
    </row>
    <row r="40" spans="1:17" s="511" customFormat="1" ht="21">
      <c r="A40" s="508" t="s">
        <v>20</v>
      </c>
      <c r="B40" s="509">
        <f>0</f>
        <v>0</v>
      </c>
      <c r="C40" s="509">
        <v>0</v>
      </c>
      <c r="D40" s="509">
        <f>0</f>
        <v>0</v>
      </c>
      <c r="E40" s="509">
        <f>0</f>
        <v>0</v>
      </c>
      <c r="F40" s="509">
        <f>0</f>
        <v>0</v>
      </c>
      <c r="G40" s="509">
        <f>0</f>
        <v>0</v>
      </c>
      <c r="H40" s="509">
        <f>0</f>
        <v>0</v>
      </c>
      <c r="I40" s="509">
        <f>0</f>
        <v>0</v>
      </c>
      <c r="J40" s="509">
        <f>0</f>
        <v>0</v>
      </c>
      <c r="K40" s="509">
        <f>0</f>
        <v>0</v>
      </c>
      <c r="L40" s="509">
        <v>0</v>
      </c>
      <c r="M40" s="509">
        <v>0</v>
      </c>
      <c r="N40" s="509">
        <f>0</f>
        <v>0</v>
      </c>
      <c r="O40" s="509">
        <f>0</f>
        <v>0</v>
      </c>
      <c r="P40" s="509">
        <f>0</f>
        <v>0</v>
      </c>
      <c r="Q40" s="510">
        <f>SUM(B40:P40)</f>
        <v>0</v>
      </c>
    </row>
    <row r="41" spans="1:17" s="100" customFormat="1" ht="21">
      <c r="A41" s="512" t="s">
        <v>279</v>
      </c>
      <c r="B41" s="506"/>
      <c r="C41" s="505"/>
      <c r="D41" s="507"/>
      <c r="E41" s="506"/>
      <c r="F41" s="506"/>
      <c r="G41" s="506"/>
      <c r="H41" s="506"/>
      <c r="I41" s="506"/>
      <c r="J41" s="506"/>
      <c r="K41" s="507"/>
      <c r="L41" s="507"/>
      <c r="M41" s="506"/>
      <c r="N41" s="505"/>
      <c r="O41" s="506"/>
      <c r="P41" s="506"/>
      <c r="Q41" s="506"/>
    </row>
    <row r="42" spans="1:17" s="100" customFormat="1" ht="21">
      <c r="A42" s="337">
        <v>410100</v>
      </c>
      <c r="B42" s="505">
        <v>0</v>
      </c>
      <c r="C42" s="505">
        <v>0</v>
      </c>
      <c r="D42" s="505">
        <v>0</v>
      </c>
      <c r="E42" s="505">
        <v>0</v>
      </c>
      <c r="F42" s="505">
        <v>0</v>
      </c>
      <c r="G42" s="505">
        <v>0</v>
      </c>
      <c r="H42" s="505">
        <v>0</v>
      </c>
      <c r="I42" s="505">
        <v>0</v>
      </c>
      <c r="J42" s="505">
        <v>0</v>
      </c>
      <c r="K42" s="505">
        <v>0</v>
      </c>
      <c r="L42" s="505">
        <v>0</v>
      </c>
      <c r="M42" s="505">
        <v>0</v>
      </c>
      <c r="N42" s="505">
        <v>0</v>
      </c>
      <c r="O42" s="505">
        <v>0</v>
      </c>
      <c r="P42" s="505">
        <v>0</v>
      </c>
      <c r="Q42" s="506">
        <f>SUM(B42:P42)</f>
        <v>0</v>
      </c>
    </row>
    <row r="43" spans="1:17" s="100" customFormat="1" ht="21">
      <c r="A43" s="337" t="s">
        <v>19</v>
      </c>
      <c r="B43" s="506">
        <f aca="true" t="shared" si="7" ref="B43:P43">SUM(B42)</f>
        <v>0</v>
      </c>
      <c r="C43" s="506">
        <f t="shared" si="7"/>
        <v>0</v>
      </c>
      <c r="D43" s="506">
        <f t="shared" si="7"/>
        <v>0</v>
      </c>
      <c r="E43" s="506">
        <f t="shared" si="7"/>
        <v>0</v>
      </c>
      <c r="F43" s="506">
        <f t="shared" si="7"/>
        <v>0</v>
      </c>
      <c r="G43" s="506">
        <f t="shared" si="7"/>
        <v>0</v>
      </c>
      <c r="H43" s="506">
        <f t="shared" si="7"/>
        <v>0</v>
      </c>
      <c r="I43" s="506">
        <f t="shared" si="7"/>
        <v>0</v>
      </c>
      <c r="J43" s="506">
        <f t="shared" si="7"/>
        <v>0</v>
      </c>
      <c r="K43" s="506">
        <f t="shared" si="7"/>
        <v>0</v>
      </c>
      <c r="L43" s="506">
        <f t="shared" si="7"/>
        <v>0</v>
      </c>
      <c r="M43" s="506">
        <f t="shared" si="7"/>
        <v>0</v>
      </c>
      <c r="N43" s="506">
        <f t="shared" si="7"/>
        <v>0</v>
      </c>
      <c r="O43" s="506">
        <f t="shared" si="7"/>
        <v>0</v>
      </c>
      <c r="P43" s="506">
        <f t="shared" si="7"/>
        <v>0</v>
      </c>
      <c r="Q43" s="506">
        <f>SUM(B43:P43)</f>
        <v>0</v>
      </c>
    </row>
    <row r="44" spans="1:17" s="511" customFormat="1" ht="21">
      <c r="A44" s="508" t="s">
        <v>20</v>
      </c>
      <c r="B44" s="509">
        <f>0</f>
        <v>0</v>
      </c>
      <c r="C44" s="509">
        <v>0</v>
      </c>
      <c r="D44" s="509">
        <f>0</f>
        <v>0</v>
      </c>
      <c r="E44" s="509">
        <f>0</f>
        <v>0</v>
      </c>
      <c r="F44" s="509">
        <f>0</f>
        <v>0</v>
      </c>
      <c r="G44" s="509">
        <f>0</f>
        <v>0</v>
      </c>
      <c r="H44" s="509">
        <f>0</f>
        <v>0</v>
      </c>
      <c r="I44" s="509">
        <v>0</v>
      </c>
      <c r="J44" s="509">
        <v>0</v>
      </c>
      <c r="K44" s="509">
        <f>0</f>
        <v>0</v>
      </c>
      <c r="L44" s="509">
        <v>0</v>
      </c>
      <c r="M44" s="509">
        <f>0</f>
        <v>0</v>
      </c>
      <c r="N44" s="509">
        <f>0</f>
        <v>0</v>
      </c>
      <c r="O44" s="509">
        <f>0</f>
        <v>0</v>
      </c>
      <c r="P44" s="509">
        <f>0</f>
        <v>0</v>
      </c>
      <c r="Q44" s="510">
        <f>SUM(B44:P44)</f>
        <v>0</v>
      </c>
    </row>
    <row r="45" spans="1:17" s="100" customFormat="1" ht="21">
      <c r="A45" s="512" t="s">
        <v>280</v>
      </c>
      <c r="B45" s="506"/>
      <c r="C45" s="505"/>
      <c r="D45" s="507"/>
      <c r="E45" s="506"/>
      <c r="F45" s="506"/>
      <c r="G45" s="506"/>
      <c r="H45" s="506"/>
      <c r="I45" s="506"/>
      <c r="J45" s="506"/>
      <c r="K45" s="507"/>
      <c r="L45" s="507"/>
      <c r="M45" s="506"/>
      <c r="N45" s="505"/>
      <c r="O45" s="506"/>
      <c r="P45" s="506"/>
      <c r="Q45" s="506"/>
    </row>
    <row r="46" spans="1:17" s="100" customFormat="1" ht="21">
      <c r="A46" s="529">
        <v>420700</v>
      </c>
      <c r="B46" s="506"/>
      <c r="C46" s="505">
        <v>0</v>
      </c>
      <c r="D46" s="507">
        <v>0</v>
      </c>
      <c r="E46" s="506">
        <v>0</v>
      </c>
      <c r="F46" s="506">
        <v>0</v>
      </c>
      <c r="G46" s="506">
        <v>0</v>
      </c>
      <c r="H46" s="506">
        <v>0</v>
      </c>
      <c r="I46" s="506">
        <v>0</v>
      </c>
      <c r="J46" s="506">
        <v>0</v>
      </c>
      <c r="K46" s="507">
        <v>0</v>
      </c>
      <c r="L46" s="507">
        <v>0</v>
      </c>
      <c r="M46" s="506">
        <v>0</v>
      </c>
      <c r="N46" s="505">
        <v>0</v>
      </c>
      <c r="O46" s="506">
        <v>0</v>
      </c>
      <c r="P46" s="506">
        <v>0</v>
      </c>
      <c r="Q46" s="506">
        <f>SUM(B46:P46)</f>
        <v>0</v>
      </c>
    </row>
    <row r="47" spans="1:17" s="100" customFormat="1" ht="21">
      <c r="A47" s="337" t="s">
        <v>19</v>
      </c>
      <c r="B47" s="506">
        <f aca="true" t="shared" si="8" ref="B47:P47">SUM(B46:B46)</f>
        <v>0</v>
      </c>
      <c r="C47" s="506">
        <f t="shared" si="8"/>
        <v>0</v>
      </c>
      <c r="D47" s="506">
        <f t="shared" si="8"/>
        <v>0</v>
      </c>
      <c r="E47" s="506">
        <f t="shared" si="8"/>
        <v>0</v>
      </c>
      <c r="F47" s="506">
        <f t="shared" si="8"/>
        <v>0</v>
      </c>
      <c r="G47" s="506">
        <f t="shared" si="8"/>
        <v>0</v>
      </c>
      <c r="H47" s="506">
        <f t="shared" si="8"/>
        <v>0</v>
      </c>
      <c r="I47" s="506">
        <f t="shared" si="8"/>
        <v>0</v>
      </c>
      <c r="J47" s="506">
        <f t="shared" si="8"/>
        <v>0</v>
      </c>
      <c r="K47" s="506">
        <f t="shared" si="8"/>
        <v>0</v>
      </c>
      <c r="L47" s="506">
        <f t="shared" si="8"/>
        <v>0</v>
      </c>
      <c r="M47" s="506">
        <f t="shared" si="8"/>
        <v>0</v>
      </c>
      <c r="N47" s="506">
        <f t="shared" si="8"/>
        <v>0</v>
      </c>
      <c r="O47" s="506">
        <f t="shared" si="8"/>
        <v>0</v>
      </c>
      <c r="P47" s="506">
        <f t="shared" si="8"/>
        <v>0</v>
      </c>
      <c r="Q47" s="506">
        <f>SUM(B47:P47)</f>
        <v>0</v>
      </c>
    </row>
    <row r="48" spans="1:17" s="511" customFormat="1" ht="21">
      <c r="A48" s="508" t="s">
        <v>20</v>
      </c>
      <c r="B48" s="509">
        <f>0</f>
        <v>0</v>
      </c>
      <c r="C48" s="509">
        <v>0</v>
      </c>
      <c r="D48" s="509">
        <v>0</v>
      </c>
      <c r="E48" s="509">
        <f>0</f>
        <v>0</v>
      </c>
      <c r="F48" s="509">
        <f>0</f>
        <v>0</v>
      </c>
      <c r="G48" s="509">
        <f>0</f>
        <v>0</v>
      </c>
      <c r="H48" s="509">
        <f>0</f>
        <v>0</v>
      </c>
      <c r="I48" s="509">
        <f>0</f>
        <v>0</v>
      </c>
      <c r="J48" s="509">
        <f>0</f>
        <v>0</v>
      </c>
      <c r="K48" s="509">
        <f>0</f>
        <v>0</v>
      </c>
      <c r="L48" s="509">
        <v>0</v>
      </c>
      <c r="M48" s="509">
        <f>0</f>
        <v>0</v>
      </c>
      <c r="N48" s="509">
        <f>0</f>
        <v>0</v>
      </c>
      <c r="O48" s="509">
        <f>0</f>
        <v>0</v>
      </c>
      <c r="P48" s="509">
        <f>0</f>
        <v>0</v>
      </c>
      <c r="Q48" s="510">
        <f>SUM(B48:P48)</f>
        <v>0</v>
      </c>
    </row>
    <row r="49" spans="1:17" s="100" customFormat="1" ht="21">
      <c r="A49" s="512" t="s">
        <v>281</v>
      </c>
      <c r="B49" s="506"/>
      <c r="C49" s="505"/>
      <c r="D49" s="507"/>
      <c r="E49" s="506"/>
      <c r="F49" s="506"/>
      <c r="G49" s="506"/>
      <c r="H49" s="506"/>
      <c r="I49" s="506"/>
      <c r="J49" s="506"/>
      <c r="K49" s="507"/>
      <c r="L49" s="507"/>
      <c r="M49" s="506"/>
      <c r="N49" s="505"/>
      <c r="O49" s="506"/>
      <c r="P49" s="506"/>
      <c r="Q49" s="506"/>
    </row>
    <row r="50" spans="1:17" s="100" customFormat="1" ht="21">
      <c r="A50" s="337">
        <v>610100</v>
      </c>
      <c r="B50" s="505">
        <v>0</v>
      </c>
      <c r="C50" s="505">
        <v>0</v>
      </c>
      <c r="D50" s="505">
        <v>0</v>
      </c>
      <c r="E50" s="505">
        <v>0</v>
      </c>
      <c r="F50" s="505">
        <v>0</v>
      </c>
      <c r="G50" s="505">
        <v>0</v>
      </c>
      <c r="H50" s="505">
        <v>0</v>
      </c>
      <c r="I50" s="505">
        <v>0</v>
      </c>
      <c r="J50" s="505">
        <v>0</v>
      </c>
      <c r="K50" s="505">
        <v>0</v>
      </c>
      <c r="L50" s="505">
        <v>0</v>
      </c>
      <c r="M50" s="505">
        <v>0</v>
      </c>
      <c r="N50" s="505">
        <v>0</v>
      </c>
      <c r="O50" s="505">
        <v>0</v>
      </c>
      <c r="P50" s="505">
        <v>0</v>
      </c>
      <c r="Q50" s="506">
        <f>SUM(B50:P50)</f>
        <v>0</v>
      </c>
    </row>
    <row r="51" spans="1:17" s="100" customFormat="1" ht="21">
      <c r="A51" s="337" t="s">
        <v>19</v>
      </c>
      <c r="B51" s="506">
        <f aca="true" t="shared" si="9" ref="B51:P51">SUM(B50:B50)</f>
        <v>0</v>
      </c>
      <c r="C51" s="506">
        <f t="shared" si="9"/>
        <v>0</v>
      </c>
      <c r="D51" s="506">
        <f t="shared" si="9"/>
        <v>0</v>
      </c>
      <c r="E51" s="506">
        <f t="shared" si="9"/>
        <v>0</v>
      </c>
      <c r="F51" s="506">
        <f t="shared" si="9"/>
        <v>0</v>
      </c>
      <c r="G51" s="506">
        <f t="shared" si="9"/>
        <v>0</v>
      </c>
      <c r="H51" s="506">
        <f t="shared" si="9"/>
        <v>0</v>
      </c>
      <c r="I51" s="506">
        <f t="shared" si="9"/>
        <v>0</v>
      </c>
      <c r="J51" s="506">
        <f t="shared" si="9"/>
        <v>0</v>
      </c>
      <c r="K51" s="506">
        <f t="shared" si="9"/>
        <v>0</v>
      </c>
      <c r="L51" s="506">
        <f t="shared" si="9"/>
        <v>0</v>
      </c>
      <c r="M51" s="506">
        <f t="shared" si="9"/>
        <v>0</v>
      </c>
      <c r="N51" s="506">
        <f t="shared" si="9"/>
        <v>0</v>
      </c>
      <c r="O51" s="506">
        <f t="shared" si="9"/>
        <v>0</v>
      </c>
      <c r="P51" s="506">
        <f t="shared" si="9"/>
        <v>0</v>
      </c>
      <c r="Q51" s="506">
        <f>SUM(B51:P51)</f>
        <v>0</v>
      </c>
    </row>
    <row r="52" spans="1:17" s="511" customFormat="1" ht="21">
      <c r="A52" s="508" t="s">
        <v>20</v>
      </c>
      <c r="B52" s="509">
        <f>0</f>
        <v>0</v>
      </c>
      <c r="C52" s="509">
        <v>0</v>
      </c>
      <c r="D52" s="509">
        <f>0</f>
        <v>0</v>
      </c>
      <c r="E52" s="509">
        <f>0</f>
        <v>0</v>
      </c>
      <c r="F52" s="509">
        <f>0</f>
        <v>0</v>
      </c>
      <c r="G52" s="509">
        <f>0</f>
        <v>0</v>
      </c>
      <c r="H52" s="509">
        <f>0</f>
        <v>0</v>
      </c>
      <c r="I52" s="509">
        <f>0</f>
        <v>0</v>
      </c>
      <c r="J52" s="509">
        <f>0</f>
        <v>0</v>
      </c>
      <c r="K52" s="509">
        <f>0</f>
        <v>0</v>
      </c>
      <c r="L52" s="509">
        <v>0</v>
      </c>
      <c r="M52" s="509">
        <f>0</f>
        <v>0</v>
      </c>
      <c r="N52" s="509">
        <f>0</f>
        <v>0</v>
      </c>
      <c r="O52" s="509">
        <v>0</v>
      </c>
      <c r="P52" s="509">
        <f>0</f>
        <v>0</v>
      </c>
      <c r="Q52" s="510">
        <f>SUM(B52:P52)</f>
        <v>0</v>
      </c>
    </row>
    <row r="53" spans="1:17" s="100" customFormat="1" ht="21">
      <c r="A53" s="512" t="s">
        <v>282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6"/>
    </row>
    <row r="54" spans="1:17" s="100" customFormat="1" ht="21">
      <c r="A54" s="337">
        <v>510100</v>
      </c>
      <c r="B54" s="505">
        <v>0</v>
      </c>
      <c r="C54" s="505">
        <v>10000</v>
      </c>
      <c r="D54" s="505">
        <v>0</v>
      </c>
      <c r="E54" s="505">
        <v>0</v>
      </c>
      <c r="F54" s="505">
        <v>0</v>
      </c>
      <c r="G54" s="505">
        <v>0</v>
      </c>
      <c r="H54" s="505">
        <v>0</v>
      </c>
      <c r="I54" s="505">
        <v>0</v>
      </c>
      <c r="J54" s="505">
        <v>0</v>
      </c>
      <c r="K54" s="505">
        <v>0</v>
      </c>
      <c r="L54" s="505">
        <v>0</v>
      </c>
      <c r="M54" s="505">
        <v>0</v>
      </c>
      <c r="N54" s="505">
        <v>0</v>
      </c>
      <c r="O54" s="505">
        <v>0</v>
      </c>
      <c r="P54" s="505">
        <v>0</v>
      </c>
      <c r="Q54" s="506">
        <f>SUM(B54:P54)</f>
        <v>10000</v>
      </c>
    </row>
    <row r="55" spans="1:17" s="100" customFormat="1" ht="21">
      <c r="A55" s="337" t="s">
        <v>19</v>
      </c>
      <c r="B55" s="505">
        <f aca="true" t="shared" si="10" ref="B55:P55">SUM(B54)</f>
        <v>0</v>
      </c>
      <c r="C55" s="505">
        <f t="shared" si="10"/>
        <v>10000</v>
      </c>
      <c r="D55" s="505">
        <f t="shared" si="10"/>
        <v>0</v>
      </c>
      <c r="E55" s="505">
        <f t="shared" si="10"/>
        <v>0</v>
      </c>
      <c r="F55" s="505">
        <f t="shared" si="10"/>
        <v>0</v>
      </c>
      <c r="G55" s="505">
        <f t="shared" si="10"/>
        <v>0</v>
      </c>
      <c r="H55" s="505">
        <f t="shared" si="10"/>
        <v>0</v>
      </c>
      <c r="I55" s="505">
        <f t="shared" si="10"/>
        <v>0</v>
      </c>
      <c r="J55" s="505">
        <f t="shared" si="10"/>
        <v>0</v>
      </c>
      <c r="K55" s="505">
        <f t="shared" si="10"/>
        <v>0</v>
      </c>
      <c r="L55" s="505">
        <f t="shared" si="10"/>
        <v>0</v>
      </c>
      <c r="M55" s="505">
        <f t="shared" si="10"/>
        <v>0</v>
      </c>
      <c r="N55" s="505">
        <f t="shared" si="10"/>
        <v>0</v>
      </c>
      <c r="O55" s="505">
        <f t="shared" si="10"/>
        <v>0</v>
      </c>
      <c r="P55" s="505">
        <f t="shared" si="10"/>
        <v>0</v>
      </c>
      <c r="Q55" s="506">
        <f>SUM(B55:P55)</f>
        <v>10000</v>
      </c>
    </row>
    <row r="56" spans="1:17" s="511" customFormat="1" ht="21">
      <c r="A56" s="508" t="s">
        <v>20</v>
      </c>
      <c r="B56" s="509">
        <f>0</f>
        <v>0</v>
      </c>
      <c r="C56" s="509">
        <v>10000</v>
      </c>
      <c r="D56" s="509">
        <f>0</f>
        <v>0</v>
      </c>
      <c r="E56" s="509">
        <f>0</f>
        <v>0</v>
      </c>
      <c r="F56" s="509">
        <v>0</v>
      </c>
      <c r="G56" s="509">
        <f>0</f>
        <v>0</v>
      </c>
      <c r="H56" s="509">
        <f>0</f>
        <v>0</v>
      </c>
      <c r="I56" s="509">
        <f>0</f>
        <v>0</v>
      </c>
      <c r="J56" s="509">
        <v>0</v>
      </c>
      <c r="K56" s="509">
        <f>0</f>
        <v>0</v>
      </c>
      <c r="L56" s="509">
        <v>0</v>
      </c>
      <c r="M56" s="509">
        <f>0</f>
        <v>0</v>
      </c>
      <c r="N56" s="509"/>
      <c r="O56" s="509">
        <f>0</f>
        <v>0</v>
      </c>
      <c r="P56" s="509">
        <f>0</f>
        <v>0</v>
      </c>
      <c r="Q56" s="510">
        <f>SUM(B56:P56)</f>
        <v>10000</v>
      </c>
    </row>
    <row r="57" spans="1:17" s="100" customFormat="1" ht="21">
      <c r="A57" s="337" t="s">
        <v>73</v>
      </c>
      <c r="B57" s="506">
        <f>B8+B12+B16+B20+B24+B28+B39+B43+B47+B51+B55</f>
        <v>0</v>
      </c>
      <c r="C57" s="506">
        <f>C8+C12+C16+C20+C24+C28+C39+C43+C47+C51+C55</f>
        <v>10000</v>
      </c>
      <c r="D57" s="506">
        <f>D8+D12+D16+D20+D24+D28+D39+D43+D47+D51+D55</f>
        <v>0</v>
      </c>
      <c r="E57" s="506">
        <f>E8+E12+E16+E20+E24+E28+E39+E43+E47+E51+E55</f>
        <v>0</v>
      </c>
      <c r="F57" s="506">
        <f>F8+F12+F16+F20+F24+F28+F39+F43+F47+F51+F55</f>
        <v>0</v>
      </c>
      <c r="G57" s="506">
        <f>G8+G12+G16+G20+G24+G28+G39+G43+G47+G51+G55</f>
        <v>0</v>
      </c>
      <c r="H57" s="506">
        <f>H8+H12+H16+H20+H24+H28+H39+H43+H47+H51+H55</f>
        <v>0</v>
      </c>
      <c r="I57" s="506">
        <f>I8+I12+I16+I20+I24+I28+I39+I43+I47+I51+I55</f>
        <v>0</v>
      </c>
      <c r="J57" s="506">
        <f>J8+J12+J16+J20+J24+J28+J39+J43+J47+J51+J55</f>
        <v>0</v>
      </c>
      <c r="K57" s="506">
        <v>0</v>
      </c>
      <c r="L57" s="506">
        <f>L8+L12+L16+L20+L24+L28+L39+L43+L47+L51+L55</f>
        <v>0</v>
      </c>
      <c r="M57" s="506">
        <f>M8+M12+M16+M20+M24+M28+M39+M43+M47+M51+M55</f>
        <v>0</v>
      </c>
      <c r="N57" s="506">
        <f>N8+N12+N16+N20+N24+N28+N39+N43+N47+N51+N55</f>
        <v>0</v>
      </c>
      <c r="O57" s="506">
        <f>O8+O12+O16+O20+O24+O28+O39+O43+O47+O51+O55</f>
        <v>0</v>
      </c>
      <c r="P57" s="506">
        <f>P8+P12+P16+P20+P24+P28+P39+P43+P47+P51+P55</f>
        <v>0</v>
      </c>
      <c r="Q57" s="506">
        <f>SUM(B57:P57)</f>
        <v>10000</v>
      </c>
    </row>
    <row r="58" spans="1:17" s="511" customFormat="1" ht="21">
      <c r="A58" s="508" t="s">
        <v>104</v>
      </c>
      <c r="B58" s="510">
        <f>B9+B13+B17+B21+B25+B29+B40+B44+B48+B52+B56</f>
        <v>0</v>
      </c>
      <c r="C58" s="510">
        <f>C9+C13+C17+C21+C25+C29+C40+C44+C48+C52+C56</f>
        <v>10000</v>
      </c>
      <c r="D58" s="510">
        <f>D9+D13+D17+D21+D25+D29+D40+D44+D48+D52+D56</f>
        <v>0</v>
      </c>
      <c r="E58" s="510">
        <f>E9+E13+E17+E21+E25+E29+E40+E44+E48+E52+E56</f>
        <v>0</v>
      </c>
      <c r="F58" s="510">
        <f>F9+F13+F17+F21+F25+F29+F40+F44+F48+F52+F56</f>
        <v>0</v>
      </c>
      <c r="G58" s="510">
        <f>G9+G13+G17+G21+G25+G29+G40+G44+G48+G52+G56</f>
        <v>0</v>
      </c>
      <c r="H58" s="510">
        <f>H9+H13+H17+H21+H25+H29+H40+H44+H48+H52+H56</f>
        <v>0</v>
      </c>
      <c r="I58" s="510">
        <f>I9+I13+I17+I21+I25+I29+I40+I44+I48+I52+I56</f>
        <v>0</v>
      </c>
      <c r="J58" s="510">
        <f>J9+J13+J17+J21+J25+J29+J40+J44+J48+J52+J56</f>
        <v>0</v>
      </c>
      <c r="K58" s="510">
        <v>0</v>
      </c>
      <c r="L58" s="510">
        <f>L9+L13+L17+L21+L25+L29+L40+L44+L48+L52+L56</f>
        <v>0</v>
      </c>
      <c r="M58" s="510">
        <f>M9+M13+M17+M21+M25+M29+M40+M44+M48+M52+M56</f>
        <v>0</v>
      </c>
      <c r="N58" s="510">
        <f>N9+N13+N17+N21+N25+N29+N40+N44+N48+N52+N56</f>
        <v>0</v>
      </c>
      <c r="O58" s="510">
        <f>O9+O13+O17+O21+O25+O29+O40+O44+O48+O52+O56</f>
        <v>0</v>
      </c>
      <c r="P58" s="510">
        <f>P9+P13+P17+P21+P25+P29+P40+P44+P48+P52+P56</f>
        <v>0</v>
      </c>
      <c r="Q58" s="510">
        <f>SUM(B58:P58)</f>
        <v>10000</v>
      </c>
    </row>
    <row r="59" spans="1:17" s="511" customFormat="1" ht="21">
      <c r="A59" s="530"/>
      <c r="B59" s="531"/>
      <c r="C59" s="531"/>
      <c r="D59" s="521" t="s">
        <v>7</v>
      </c>
      <c r="E59" s="521"/>
      <c r="F59" s="521"/>
      <c r="G59" s="521"/>
      <c r="H59" s="522"/>
      <c r="I59" s="522"/>
      <c r="J59" s="522"/>
      <c r="K59" s="521" t="s">
        <v>101</v>
      </c>
      <c r="L59" s="521"/>
      <c r="M59" s="521"/>
      <c r="N59" s="531"/>
      <c r="O59" s="531"/>
      <c r="P59" s="531"/>
      <c r="Q59" s="532"/>
    </row>
    <row r="60" spans="1:17" s="511" customFormat="1" ht="21">
      <c r="A60" s="533"/>
      <c r="B60" s="524"/>
      <c r="C60" s="524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4"/>
      <c r="O60" s="524"/>
      <c r="P60" s="524"/>
      <c r="Q60" s="523"/>
    </row>
    <row r="61" spans="1:17" s="530" customFormat="1" ht="21">
      <c r="A61" s="533"/>
      <c r="B61" s="524"/>
      <c r="C61" s="524"/>
      <c r="D61" s="527" t="s">
        <v>119</v>
      </c>
      <c r="E61" s="527"/>
      <c r="F61" s="527"/>
      <c r="G61" s="527"/>
      <c r="H61" s="522"/>
      <c r="I61" s="522"/>
      <c r="J61" s="522"/>
      <c r="K61" s="527" t="s">
        <v>102</v>
      </c>
      <c r="L61" s="527"/>
      <c r="M61" s="527"/>
      <c r="N61" s="524"/>
      <c r="O61" s="524"/>
      <c r="P61" s="524"/>
      <c r="Q61" s="523"/>
    </row>
    <row r="62" spans="1:17" s="100" customFormat="1" ht="21">
      <c r="A62" s="353"/>
      <c r="B62" s="534"/>
      <c r="C62" s="534"/>
      <c r="D62" s="527" t="s">
        <v>111</v>
      </c>
      <c r="E62" s="527"/>
      <c r="F62" s="527"/>
      <c r="G62" s="527"/>
      <c r="H62" s="522"/>
      <c r="I62" s="522"/>
      <c r="J62" s="522"/>
      <c r="K62" s="527" t="s">
        <v>100</v>
      </c>
      <c r="L62" s="527"/>
      <c r="M62" s="527"/>
      <c r="N62" s="534"/>
      <c r="O62" s="534"/>
      <c r="P62" s="534"/>
      <c r="Q62" s="243"/>
    </row>
  </sheetData>
  <mergeCells count="26">
    <mergeCell ref="D30:G30"/>
    <mergeCell ref="K32:M32"/>
    <mergeCell ref="D59:G59"/>
    <mergeCell ref="K61:M61"/>
    <mergeCell ref="D61:G61"/>
    <mergeCell ref="K33:M33"/>
    <mergeCell ref="D62:G62"/>
    <mergeCell ref="D32:G32"/>
    <mergeCell ref="D33:G33"/>
    <mergeCell ref="K62:M62"/>
    <mergeCell ref="K59:M59"/>
    <mergeCell ref="E35:F35"/>
    <mergeCell ref="C35:D35"/>
    <mergeCell ref="I35:J35"/>
    <mergeCell ref="G35:H35"/>
    <mergeCell ref="K35:L35"/>
    <mergeCell ref="A1:Q1"/>
    <mergeCell ref="A2:Q2"/>
    <mergeCell ref="A3:Q3"/>
    <mergeCell ref="A34:Q34"/>
    <mergeCell ref="G4:H4"/>
    <mergeCell ref="I4:J4"/>
    <mergeCell ref="K30:M30"/>
    <mergeCell ref="K4:L4"/>
    <mergeCell ref="C4:D4"/>
    <mergeCell ref="E4:F4"/>
  </mergeCells>
  <printOptions/>
  <pageMargins left="0.7480314960629921" right="0.31496062992125984" top="0.3937007874015748" bottom="0" header="0.5511811023622047" footer="0.5118110236220472"/>
  <pageSetup horizontalDpi="180" verticalDpi="18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MoZarD</cp:lastModifiedBy>
  <cp:lastPrinted>2010-04-27T04:29:07Z</cp:lastPrinted>
  <dcterms:created xsi:type="dcterms:W3CDTF">2006-01-23T06:43:20Z</dcterms:created>
  <dcterms:modified xsi:type="dcterms:W3CDTF">2010-04-27T04:42:28Z</dcterms:modified>
  <cp:category/>
  <cp:version/>
  <cp:contentType/>
  <cp:contentStatus/>
</cp:coreProperties>
</file>