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firstSheet="4" activeTab="7"/>
  </bookViews>
  <sheets>
    <sheet name="รายงานรับ-จ่าย" sheetId="1" r:id="rId1"/>
    <sheet name="กระแสเงินสด" sheetId="2" r:id="rId2"/>
    <sheet name="งบกระทบยอดธนาคารธกส." sheetId="3" r:id="rId3"/>
    <sheet name="งบกระทบยอดธนาคารกรุงไทย" sheetId="4" r:id="rId4"/>
    <sheet name="งบทดลอง" sheetId="5" r:id="rId5"/>
    <sheet name="หมายเหตุประกอบ" sheetId="6" r:id="rId6"/>
    <sheet name="กระดาษทำการ(เงินรายรับ)" sheetId="7" r:id="rId7"/>
    <sheet name="คงเหลือรายรับ" sheetId="8" r:id="rId8"/>
    <sheet name="กระดาษทำการเงินสะสม" sheetId="9" r:id="rId9"/>
    <sheet name="กระดาษทำการเงินอุดหนุนค้างจ่าย" sheetId="10" r:id="rId10"/>
    <sheet name="กระดาษทำการรายจ่ายค้างจ่าย" sheetId="11" r:id="rId11"/>
  </sheets>
  <definedNames>
    <definedName name="_xlnm.Print_Area" localSheetId="1">'กระแสเงินสด'!$A$1:$J$33</definedName>
  </definedNames>
  <calcPr fullCalcOnLoad="1"/>
</workbook>
</file>

<file path=xl/comments10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
</t>
        </r>
      </text>
    </comment>
    <comment ref="A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  <comment ref="L3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A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รายจ่ายไม่เข้าหมวดอื่น ๆ
</t>
        </r>
      </text>
    </comment>
  </commentList>
</comments>
</file>

<file path=xl/comments11.xml><?xml version="1.0" encoding="utf-8"?>
<comments xmlns="http://schemas.openxmlformats.org/spreadsheetml/2006/main">
  <authors>
    <author>com</author>
    <author>user</author>
    <author>MoZarD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3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5" authorId="2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</commentList>
</comments>
</file>

<file path=xl/comments7.xml><?xml version="1.0" encoding="utf-8"?>
<comments xmlns="http://schemas.openxmlformats.org/spreadsheetml/2006/main">
  <authors>
    <author>com</author>
    <author>MoZarD</author>
    <author>user</author>
    <author>iLLuSioN</author>
    <author>CasperX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0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1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2" authorId="0">
      <text>
        <r>
          <rPr>
            <b/>
            <sz val="8"/>
            <rFont val="Tahoma"/>
            <family val="0"/>
          </rPr>
          <t>เงินช่วยพิเศษ(เงินสมทบเบี้ยยังชีพ)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28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2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7" authorId="3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B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N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21" authorId="4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5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1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3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127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ค่าก่อสร้างสิ่งสาธารณูปโภค</t>
        </r>
      </text>
    </comment>
    <comment ref="A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วัสดุสำรวจ</t>
        </r>
      </text>
    </comment>
  </commentList>
</comments>
</file>

<file path=xl/comments8.xml><?xml version="1.0" encoding="utf-8"?>
<comments xmlns="http://schemas.openxmlformats.org/spreadsheetml/2006/main">
  <authors>
    <author>com</author>
    <author>user</author>
    <author>iLLuSioN</author>
    <author>CasperX</author>
    <author>MoZarD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N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8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4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8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O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L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0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1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2" authorId="0">
      <text>
        <r>
          <rPr>
            <b/>
            <sz val="8"/>
            <rFont val="Tahoma"/>
            <family val="0"/>
          </rPr>
          <t>เงินช่วยพิเศษ(เงินสมทบเบี้ยยังชีพ)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3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5" authorId="2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7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7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B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N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0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0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1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14" authorId="3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17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1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10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2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7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10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A1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</commentList>
</comments>
</file>

<file path=xl/comments9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
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  <comment ref="L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</commentList>
</comments>
</file>

<file path=xl/sharedStrings.xml><?xml version="1.0" encoding="utf-8"?>
<sst xmlns="http://schemas.openxmlformats.org/spreadsheetml/2006/main" count="1117" uniqueCount="315">
  <si>
    <t>องค์การบริหารส่วนตำบลเกาะทวด</t>
  </si>
  <si>
    <r>
      <t xml:space="preserve">                  </t>
    </r>
    <r>
      <rPr>
        <b/>
        <sz val="18"/>
        <rFont val="Cordia New"/>
        <family val="2"/>
      </rPr>
      <t>งบกระทบยอดเงินฝากธนาคาร</t>
    </r>
  </si>
  <si>
    <t xml:space="preserve">            บาท</t>
  </si>
  <si>
    <t xml:space="preserve">             บาท</t>
  </si>
  <si>
    <t>บวก : เงินฝากระหว่างทาง</t>
  </si>
  <si>
    <t>หัก : เช็คจ่ายที่ผู้รับยังไม่นำมาขึ้นเงินกับธนาคาร</t>
  </si>
  <si>
    <t>รายละเอียด</t>
  </si>
  <si>
    <t>ผู้จัดทำ</t>
  </si>
  <si>
    <r>
      <t xml:space="preserve">  </t>
    </r>
    <r>
      <rPr>
        <b/>
        <sz val="16"/>
        <rFont val="Cordia New"/>
        <family val="2"/>
      </rPr>
      <t>ผู้ตรวจสอบ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</si>
  <si>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ธกส.  ออมทรัพย์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</si>
  <si>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092-2-70597-6</t>
    </r>
  </si>
  <si>
    <r>
      <t xml:space="preserve">     </t>
    </r>
    <r>
      <rPr>
        <b/>
        <u val="single"/>
        <sz val="16"/>
        <rFont val="Cordia New"/>
        <family val="2"/>
      </rPr>
      <t xml:space="preserve">วันที่ลงบัญชี 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</t>
    </r>
    <r>
      <rPr>
        <b/>
        <u val="single"/>
        <sz val="16"/>
        <rFont val="Cordia New"/>
        <family val="2"/>
      </rPr>
      <t>วันที่ฝากธนาคาร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</si>
  <si>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           </t>
    </r>
    <r>
      <rPr>
        <b/>
        <u val="single"/>
        <sz val="16"/>
        <rFont val="Cordia New"/>
        <family val="2"/>
      </rPr>
      <t>เลขที่เช็ค</t>
    </r>
    <r>
      <rPr>
        <sz val="16"/>
        <rFont val="Cordia New"/>
        <family val="2"/>
      </rPr>
      <t xml:space="preserve">               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</si>
  <si>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      </t>
    </r>
    <r>
      <rPr>
        <b/>
        <sz val="16"/>
        <rFont val="Cordia New"/>
        <family val="2"/>
      </rP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</si>
  <si>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</si>
  <si>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</si>
  <si>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</si>
  <si>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รวม</t>
  </si>
  <si>
    <t>หมวด/ประเภท</t>
  </si>
  <si>
    <t>รวมเดือนนี้</t>
  </si>
  <si>
    <t>รวมแต่ต้นปี</t>
  </si>
  <si>
    <t xml:space="preserve">  - 2 -</t>
  </si>
  <si>
    <t xml:space="preserve">     องค์การบริหารส่วนตำบลเกาะทวด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</si>
  <si>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</si>
  <si>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</si>
  <si>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</si>
  <si>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</si>
  <si>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</si>
  <si>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</si>
  <si>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</si>
  <si>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</si>
  <si>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</si>
  <si>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</si>
  <si>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</si>
  <si>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</si>
  <si>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</si>
  <si>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</si>
  <si>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</si>
  <si>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</si>
  <si>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</si>
  <si>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</si>
  <si>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รายได้ค้างรับ</t>
  </si>
  <si>
    <t>ลูกหนี้เงินยืม - เงินงบประมาณ</t>
  </si>
  <si>
    <t>เงินสะสม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</si>
  <si>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</si>
  <si>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</si>
  <si>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</si>
  <si>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</si>
  <si>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</si>
  <si>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</si>
  <si>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</si>
  <si>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ค่าที่ดินและสิ่งก่อสร้าง</t>
  </si>
  <si>
    <t>ลูกหนี้เงินยืม - 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</si>
  <si>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</si>
  <si>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</si>
  <si>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</si>
  <si>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</si>
  <si>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</si>
  <si>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หมายเหตุ 1</t>
  </si>
  <si>
    <t>บัญชีเงินรับฝาก</t>
  </si>
  <si>
    <t xml:space="preserve"> องค์การบริหารส่วนตำบลเกาะทวด</t>
  </si>
  <si>
    <t>งบทดลอง</t>
  </si>
  <si>
    <t>รหัสบัญชี</t>
  </si>
  <si>
    <t>เดบิท</t>
  </si>
  <si>
    <t>เครดิต</t>
  </si>
  <si>
    <t>เงินฝากธนาคาร ธกส. ออมทรัพย์ 092-2-70597-6</t>
  </si>
  <si>
    <t>เงินฝากธนาคารกรุงไทยกระแสรายวัน 802-6-01897-4</t>
  </si>
  <si>
    <t>ค่าสาธารณูปโภค</t>
  </si>
  <si>
    <t>เงินทุนสำรองเงินสะสม</t>
  </si>
  <si>
    <t>รายจ่ายอื่น</t>
  </si>
  <si>
    <t>-</t>
  </si>
  <si>
    <t xml:space="preserve">      อำเภอปากพนัง      จังหวัด นครศรีธรรมราช</t>
  </si>
  <si>
    <t>-3-</t>
  </si>
  <si>
    <t>รวมทั้งสิ้นเดือนนี้</t>
  </si>
  <si>
    <t>รวมทั้งสินแต่ต้นปี</t>
  </si>
  <si>
    <t>-2-</t>
  </si>
  <si>
    <t>00121</t>
  </si>
  <si>
    <t>00123</t>
  </si>
  <si>
    <t>00241</t>
  </si>
  <si>
    <t>00242</t>
  </si>
  <si>
    <t>00410</t>
  </si>
  <si>
    <t>00411</t>
  </si>
  <si>
    <t>00110</t>
  </si>
  <si>
    <t>00111</t>
  </si>
  <si>
    <t>00113</t>
  </si>
  <si>
    <t>00120</t>
  </si>
  <si>
    <t>00240</t>
  </si>
  <si>
    <t>00260</t>
  </si>
  <si>
    <t>00262</t>
  </si>
  <si>
    <t>00263</t>
  </si>
  <si>
    <t>00211</t>
  </si>
  <si>
    <t>00210</t>
  </si>
  <si>
    <t>00220</t>
  </si>
  <si>
    <t>00221</t>
  </si>
  <si>
    <t>00232</t>
  </si>
  <si>
    <t>00230</t>
  </si>
  <si>
    <t>00250</t>
  </si>
  <si>
    <t>00252</t>
  </si>
  <si>
    <t>00321</t>
  </si>
  <si>
    <t>00320</t>
  </si>
  <si>
    <t>หัวหน้าส่วนการคลัง</t>
  </si>
  <si>
    <t>ตรวจถูกต้อง</t>
  </si>
  <si>
    <t>(นายวรรณรัตน์  มณีโชติ)</t>
  </si>
  <si>
    <t>งบประมาณคงเหลือ (จ่ายจากเงินรายรับ)</t>
  </si>
  <si>
    <t>รวมทั้งสิ้นแต่ต้นปี</t>
  </si>
  <si>
    <t>บวก : หรือ (หัก) รายการกระทบยอดอื่น ๆ</t>
  </si>
  <si>
    <t>รายจ่ายตามงบประมาณ (จ่ายจากเงินสะสม)</t>
  </si>
  <si>
    <t>รายจ่ายตามงบประมาณ (จ่ายจากเงินอุดหนุนค้างจ่าย)</t>
  </si>
  <si>
    <t>รายจ่ายตามงบประมาณ (จ่ายจากรายจ่ายค้างจ่าย)</t>
  </si>
  <si>
    <t>00214</t>
  </si>
  <si>
    <t>00212</t>
  </si>
  <si>
    <t>เจ้าพนักงานการเงินและบัญชี</t>
  </si>
  <si>
    <t>รายจ่ายรอจ่าย</t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</si>
  <si>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กรุงไทย  กระแสรายวัน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</si>
  <si>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802-6-01897-4</t>
    </r>
  </si>
  <si>
    <t>00330</t>
  </si>
  <si>
    <t>00332</t>
  </si>
  <si>
    <r>
      <t>ลงชื่อ</t>
    </r>
    <r>
      <rPr>
        <sz val="16"/>
        <rFont val="Cordia New"/>
        <family val="2"/>
      </rPr>
      <t xml:space="preserve">  นางนงนุช   รอดจบ</t>
    </r>
  </si>
  <si>
    <r>
      <t xml:space="preserve">ตำแหน่ง </t>
    </r>
    <r>
      <rPr>
        <sz val="16"/>
        <rFont val="Cordia New"/>
        <family val="2"/>
      </rPr>
      <t>เจ้าพนักงานการเงินและบัญชี</t>
    </r>
  </si>
  <si>
    <t>(นางนงนุช   รอดจบ)</t>
  </si>
  <si>
    <t>(นางนงนุช    รอดจบ)</t>
  </si>
  <si>
    <t>(นางนงนุช  รอดจบ)</t>
  </si>
  <si>
    <t>ภาษีหน้าฎีกา</t>
  </si>
  <si>
    <t>รายจ่ายค้างจ่าย</t>
  </si>
  <si>
    <t>(ลงชื่อ)..........................................</t>
  </si>
  <si>
    <t>เงินฝากธนาคาร ธกส. ออมทรัพย์ 092-2-71685-2</t>
  </si>
  <si>
    <t>หมายเหตุ 3</t>
  </si>
  <si>
    <t>(ลงชื่อ)………………………..             (ลงชื่อ)………………………..             (ลงชื่อ)……………………………</t>
  </si>
  <si>
    <t xml:space="preserve">    (นายวรรณรัตน์  มณีโชติ)                      (นายจิราวุธ  กรเพชร)                       (นายวรรณชาติ  ยอดแก้ว)</t>
  </si>
  <si>
    <t xml:space="preserve">       หัวหน้าส่วนการคลัง                     ปลัดองค์การบริหารส่วนตำบล        นายกองค์การบริหารส่วนตำบลเกาะทวด</t>
  </si>
  <si>
    <t>(ลงชื่อ)...........................................                         (ลงชื่อ)...........................................</t>
  </si>
  <si>
    <t xml:space="preserve">        (นายจิราวุธ  กรเพชร)                                           (นายวรรณชาติ   ยอดแก้ว)</t>
  </si>
  <si>
    <t xml:space="preserve">    (นายวรรณรัตน์  มณีโชติ)</t>
  </si>
  <si>
    <t xml:space="preserve">       หัวหน้าส่วนการคลัง</t>
  </si>
  <si>
    <t xml:space="preserve">  ปลัดองค์การบริหารส่วนตำบล                      นายกองค์การบริหารส่วนตำบลเกาะทวด</t>
  </si>
  <si>
    <t>บัญชีเงินรายรับ</t>
  </si>
  <si>
    <t>วันที่โอนเข้าบัญชี</t>
  </si>
  <si>
    <t>วันที่ลงบัญชี</t>
  </si>
  <si>
    <t>จำนวนเงิน</t>
  </si>
  <si>
    <t>เงินสด</t>
  </si>
  <si>
    <t>ลูกหนี้เงินยืม-เงินนอกงบประมาณ</t>
  </si>
  <si>
    <t>หมายเหตุ 2</t>
  </si>
  <si>
    <t>00261</t>
  </si>
  <si>
    <t>ลูกหนี้เงินยืม - เงินนอกงบประมาณ</t>
  </si>
  <si>
    <t>เงินอุดหนุนค้างจ่าย</t>
  </si>
  <si>
    <t>เงินรับฝาก (หมายเหตุ 3)</t>
  </si>
  <si>
    <t>เงินอุดหนุนทั่วไป</t>
  </si>
  <si>
    <r>
      <t>ลงชื่อ</t>
    </r>
    <r>
      <rPr>
        <sz val="16"/>
        <rFont val="Cordia New"/>
        <family val="2"/>
      </rPr>
      <t xml:space="preserve">   นายวรรณรัตน์  มณีโชติ</t>
    </r>
  </si>
  <si>
    <r>
      <t>ลงชื่อ</t>
    </r>
    <r>
      <rPr>
        <sz val="16"/>
        <rFont val="Cordia New"/>
        <family val="2"/>
      </rPr>
      <t xml:space="preserve">  นางนงนุช  รอดจบ</t>
    </r>
  </si>
  <si>
    <t>เงินรายได้</t>
  </si>
  <si>
    <t>110100</t>
  </si>
  <si>
    <t>110201</t>
  </si>
  <si>
    <t>110203</t>
  </si>
  <si>
    <t>110300</t>
  </si>
  <si>
    <t>210300</t>
  </si>
  <si>
    <t>210400</t>
  </si>
  <si>
    <t>ภาษีหัก ณ ที่จ่าย</t>
  </si>
  <si>
    <t>เงินประกันสัญญา</t>
  </si>
  <si>
    <t>ค่าใช้จ่าย ภ.บ.ท. 5%</t>
  </si>
  <si>
    <t>เงินส่วนลด 6%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</si>
  <si>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</si>
  <si>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</si>
  <si>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ที่</t>
  </si>
  <si>
    <t>คงเหลือ</t>
  </si>
  <si>
    <t>ประกอบงบทดลองและรายงานรับ-จ่ายเงินสด</t>
  </si>
  <si>
    <t>เงินอุดหนุนค้างจ่าย(หมายเหตุ 1)</t>
  </si>
  <si>
    <t>บัญชีเงินอุดหนุนค้างจ่าย</t>
  </si>
  <si>
    <t>ตั้งแต่ต้นปี</t>
  </si>
  <si>
    <t>ภาษีบำรุงท้องที่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</si>
  <si>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</si>
  <si>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</si>
  <si>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</si>
  <si>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531000</t>
  </si>
  <si>
    <t>532000</t>
  </si>
  <si>
    <t>533000</t>
  </si>
  <si>
    <t>534000</t>
  </si>
  <si>
    <t>542000</t>
  </si>
  <si>
    <t>300000</t>
  </si>
  <si>
    <t>320000</t>
  </si>
  <si>
    <t>400000</t>
  </si>
  <si>
    <t>230100</t>
  </si>
  <si>
    <t>ค่าวัสดุ-เงินอุดหนุนทั่วไปอาหารเสริม(นม) สำหรับนักเรียนชั้น ป.5-ป.6</t>
  </si>
  <si>
    <t>เงินอุดหนุนศูนย์พัฒนาครอบครัวในชุมชน</t>
  </si>
  <si>
    <t>ภาษีมูลค่าเพิ่มตามพ.ร.บ.กำหนดแผนฯ</t>
  </si>
  <si>
    <t>ภาษีมูลค่าเพิ่ม 1 ใน 9</t>
  </si>
  <si>
    <t>ค่าปรับผู้กระทำผิดกฎหมายจราจรทางบก</t>
  </si>
  <si>
    <t>ค่าธรรมเนียมการขออนุญาตติดตั้งประปา</t>
  </si>
  <si>
    <t>ค่าบำรุงรักษามาตรวัดน้ำ</t>
  </si>
  <si>
    <t>รายได้จากการจำหน่ายน้ำ</t>
  </si>
  <si>
    <t>เงินอุดหนุนเฉพาะกิจ-โครงการก่อสร้างถนนคสล.ม.6</t>
  </si>
  <si>
    <t>ปีงบประมาณ  2553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</si>
  <si>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</si>
  <si>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</si>
  <si>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</si>
  <si>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</si>
  <si>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</si>
  <si>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</si>
  <si>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</si>
  <si>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</si>
  <si>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441000</t>
  </si>
  <si>
    <t>510000</t>
  </si>
  <si>
    <t>560000</t>
  </si>
  <si>
    <t>550000</t>
  </si>
  <si>
    <t>เงินอุดหนุนระบุวัตถุประสงค์</t>
  </si>
  <si>
    <t>110605</t>
  </si>
  <si>
    <t>140000</t>
  </si>
  <si>
    <t>210500</t>
  </si>
  <si>
    <t>องค์การบริหารส่วนตำบลเกาะทวด  อำเภอปากพนัง  จังหวัดนครศรีธรรมราช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</si>
  <si>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</si>
  <si>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</si>
  <si>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</si>
  <si>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</si>
  <si>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รับเงินสะสม</t>
  </si>
  <si>
    <t>รับภาษีหน้าฎีกา</t>
  </si>
  <si>
    <t>รวมเป็นเงิน</t>
  </si>
  <si>
    <t>จ่ายจากเงินตามงบประมาณ</t>
  </si>
  <si>
    <t>จ่ายจากรายจ่ายรอจ่าย</t>
  </si>
  <si>
    <t>จ่ายจากเงินรับฝาก</t>
  </si>
  <si>
    <t>จ่ายจากรายจ่ายค้างจ่าย</t>
  </si>
  <si>
    <t>จ่ายภาษีหน้าฎีกา</t>
  </si>
  <si>
    <t>รายรับ  สูง (ต่ำ)กว่า  รายจ่าย</t>
  </si>
  <si>
    <t>(ลงชื่อ)………………………..                            (ลงชื่อ)………………………..              (ลงชื่อ)……………………………</t>
  </si>
  <si>
    <t xml:space="preserve">        (นายวรรณรัตน์  มณีโชติ)                                    (นายจิราวุธ  กรเพชร)                              (นายวรรณชาติ  ยอดแก้ว)</t>
  </si>
  <si>
    <t xml:space="preserve">       หัวหน้าส่วนการคลัง                                     ปลัดองค์การบริหารส่วนตำบล           นายกองค์การบริหารส่วนตำบลเกาะทวด</t>
  </si>
  <si>
    <t>รับเงินอุดหนุนระบุวัตถุประสงค์</t>
  </si>
  <si>
    <t>จ่ายจากเงินอุดหนุนระบุวัตถุประสงค์</t>
  </si>
  <si>
    <t>110700</t>
  </si>
  <si>
    <t>110800</t>
  </si>
  <si>
    <t>110000</t>
  </si>
  <si>
    <t>111100</t>
  </si>
  <si>
    <t>111200</t>
  </si>
  <si>
    <t>120100</t>
  </si>
  <si>
    <t xml:space="preserve">510000 </t>
  </si>
  <si>
    <t>เงินเดือน(ฝ่ายการเมือง)</t>
  </si>
  <si>
    <t>เงินเดือน(ฝ่ายประจำ)</t>
  </si>
  <si>
    <t>521000</t>
  </si>
  <si>
    <t>522000</t>
  </si>
  <si>
    <t>-4-</t>
  </si>
  <si>
    <t>(นายวรรณรัตน์   มณีโชติ)</t>
  </si>
  <si>
    <t>ลูกหนี้เงินยืมเงินงบประมาณ</t>
  </si>
  <si>
    <t>เงินอุดหนุนเฉพาะกิจ-สงเคราะห์เบี้ยยังชีพคนชรา</t>
  </si>
  <si>
    <t>110609</t>
  </si>
  <si>
    <t>รับลูกหนี้เงินยืม-เงินงบประมาณ</t>
  </si>
  <si>
    <t>รับลูกหนี้เงินยืม-เงินนอกงบประมาณ</t>
  </si>
  <si>
    <t>จ่ายลูกหนี้เงินยืม-เงินงบประมาณ</t>
  </si>
  <si>
    <t>จ่ายลูกหนี้เงินยืม-เงินนอกงบประมาณ</t>
  </si>
  <si>
    <t>541000</t>
  </si>
  <si>
    <t>รายจ่ายอื่น ๆ</t>
  </si>
  <si>
    <t>ค่าภาคหลวงแร่</t>
  </si>
  <si>
    <t>ค่าภาคหลวงปิโตรเลียม</t>
  </si>
  <si>
    <t>เงินอุดหนุนทั่วไปเพื่อสนับสนุนการกระจายอำนาจให้แก่ อปท.</t>
  </si>
  <si>
    <t>เงินอุดหนุนเฉพาะกิจ-สนับสนุนศูนย์พัฒนาเด็กเล็ก</t>
  </si>
  <si>
    <t>ลำดับ</t>
  </si>
  <si>
    <t>ภาษีโรงเรือนและที่ดิน</t>
  </si>
  <si>
    <t>จ่ายจากเงินอุดหนุนค้างจ่าย</t>
  </si>
  <si>
    <t>ประจำเดือนมกราคม  2553</t>
  </si>
  <si>
    <t>510000 งบกลาง</t>
  </si>
  <si>
    <t>521000  เงินเดือน(ฝ่ายการเมือง)</t>
  </si>
  <si>
    <t>522000เงินเดือน (ฝ่ายประจำ)</t>
  </si>
  <si>
    <t>531000ค่าตอบแทน</t>
  </si>
  <si>
    <t>532000 ค่าใช้สอย</t>
  </si>
  <si>
    <t>533000 ค่าวัสดุ</t>
  </si>
  <si>
    <t>541000 ค่าครุภัณฑ์</t>
  </si>
  <si>
    <t>542000 ค่าที่ดินและสิ่งก่อสร้าง</t>
  </si>
  <si>
    <t>561000 เงินอุดหนุน</t>
  </si>
  <si>
    <t>551000 รายจ่ายอื่นๆ</t>
  </si>
  <si>
    <t>ภาษีป้าย</t>
  </si>
  <si>
    <t>ค่าธรรมเนียมเกี่ยวกับใบอนุญาตการขายสุรา</t>
  </si>
  <si>
    <t>ค่าขายแบบแปลน</t>
  </si>
  <si>
    <t>รับคืนเงินเดือน(ฝ่ายการเมือง)</t>
  </si>
  <si>
    <t>จ่ายจากเงินสะสม</t>
  </si>
  <si>
    <t>ประจำเดือนกุมภาพันธ์  2553</t>
  </si>
  <si>
    <r>
      <t xml:space="preserve">534000 </t>
    </r>
    <r>
      <rPr>
        <sz val="12"/>
        <rFont val="Cordia New"/>
        <family val="2"/>
      </rPr>
      <t>ค่าสาธารณูปโภค</t>
    </r>
  </si>
  <si>
    <r>
      <t xml:space="preserve">534000 </t>
    </r>
    <r>
      <rPr>
        <sz val="12"/>
        <rFont val="Angsana New"/>
        <family val="1"/>
      </rPr>
      <t>ค่าสาธารณูปโภค</t>
    </r>
  </si>
  <si>
    <t>ลูกหนี้เงินยืมเงินนอกงบประมาณ</t>
  </si>
  <si>
    <t>ค่าขายแบบแปลน(โครงการไทยเข้มแข็ง)</t>
  </si>
  <si>
    <t>ดอกเบี้ยเงินฝากธนาคาร</t>
  </si>
  <si>
    <t>เงินอุดหนุนโครงการสร้างบทบาทและพื้นที่สำหรับเด็กและเยาวชน</t>
  </si>
  <si>
    <t>ทั้งปี</t>
  </si>
  <si>
    <t>ภาษีธุรกิจเฉพาะ</t>
  </si>
  <si>
    <t>เงินอุดหนุนเฉพาะกิจ-สวัสดิการสังคมให้แก่ผู้พิการหรือทุพพลภาพ</t>
  </si>
  <si>
    <t>ค่าธรรมเนียมอื่น ๆ</t>
  </si>
  <si>
    <t>6 พ.ค. 53</t>
  </si>
  <si>
    <t>1936341</t>
  </si>
  <si>
    <t>รับคืนงบกลาง</t>
  </si>
  <si>
    <t>เงินอุดหนุนค้างจ่าย (หมายเหตุ 1)</t>
  </si>
  <si>
    <t xml:space="preserve">รายจ่ายค้างจ่าย </t>
  </si>
  <si>
    <t xml:space="preserve"> เงินรับฝาก  (หมายเหตุ 2)</t>
  </si>
  <si>
    <t>รายรับ (หมายเหตุ 3)</t>
  </si>
  <si>
    <r>
      <t>รายรับ</t>
    </r>
    <r>
      <rPr>
        <b/>
        <sz val="16"/>
        <rFont val="Angsana New"/>
        <family val="1"/>
      </rPr>
      <t xml:space="preserve">  (หมายเหตุ 3)</t>
    </r>
  </si>
  <si>
    <t>รับฝาก (หมายเหตุ 2)</t>
  </si>
  <si>
    <t>ประจำเดือนมิถุนายน  2553</t>
  </si>
  <si>
    <t>ณ วันที่  31  กรกฎาคม   2553</t>
  </si>
  <si>
    <t xml:space="preserve"> ณ วันที่ 31  กรกฎาคม  2553</t>
  </si>
  <si>
    <t xml:space="preserve"> ณ วันที่  31  กรกฎาคม  2553</t>
  </si>
  <si>
    <t>เงินอุดหนุนเฉพาะกิจ-ค่าอาหารกลางวันโรงเรียน</t>
  </si>
  <si>
    <t>เงินอุดหนุนโครงการไทยเข้มแข็ง-โครงการก่อสร้างถนน คสล.ม.5,4,6</t>
  </si>
  <si>
    <t>เงินอุดหนุนโครงการไทยเข้มแข็ง-โครงการก่อสร้างถนน คสล.ม.1</t>
  </si>
  <si>
    <t>ประจำเดือนกรกฎาคม  พ.ศ. 2553</t>
  </si>
  <si>
    <t>ประจำเดือนกรกฎาคม  2553</t>
  </si>
  <si>
    <t>111000</t>
  </si>
  <si>
    <t>ยอดเงินคงเหลือ ณ วันที่  31  กรกฎาคม  2553</t>
  </si>
  <si>
    <t>ยอดคงเหลือตามรายงานธนาคาร ณ วันที่  31  กรกฎาคม   2553</t>
  </si>
  <si>
    <t>เพียงวันที่    31  กรกฎาคม    2553</t>
  </si>
  <si>
    <t>19 ก.ค. 53</t>
  </si>
  <si>
    <t>6770344</t>
  </si>
  <si>
    <t>6770347</t>
  </si>
  <si>
    <t>22 ก.ค. 53</t>
  </si>
  <si>
    <t>6770350</t>
  </si>
  <si>
    <t>ยอดคงเหลือตามบัญชี ณ วันที่ 31  กรกฎาคม  2553</t>
  </si>
  <si>
    <t>วันที่ 31 ก.ค. 53</t>
  </si>
  <si>
    <t>ยอดคงเหลือตามรายงานธนาคาร ณ วันที่ 31  กรกฎาคม   2553</t>
  </si>
  <si>
    <r>
      <t>ยอดคงเหลือตามบัญชี ณ วันที่</t>
    </r>
    <r>
      <rPr>
        <sz val="16"/>
        <rFont val="Cordia New"/>
        <family val="2"/>
      </rPr>
      <t xml:space="preserve">  31  กรกฎาคม  2553</t>
    </r>
  </si>
  <si>
    <t>2  ส.ค.  2553</t>
  </si>
  <si>
    <t>30 ก.ค.53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</si>
</sst>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;[Red]0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[$-41E]d\ mmmm\ yyyy"/>
    <numFmt numFmtId="205" formatCode="[$-107041E]d\ mmm\ yy;@"/>
    <numFmt numFmtId="206" formatCode="ว\ \ ดด\ \ ปป"/>
    <numFmt numFmtId="207" formatCode="[&lt;=9999999][$-D000000]###\-####;[$-D000000]\(0#\)\ ###\-####"/>
    <numFmt numFmtId="208" formatCode="0.000"/>
    <numFmt numFmtId="209" formatCode="0.0000"/>
    <numFmt numFmtId="210" formatCode="0#"/>
    <numFmt numFmtId="211" formatCode="_-* #,##0.000_-;\-* #,##0.000_-;_-* &quot;-&quot;??_-;_-@_-"/>
    <numFmt numFmtId="212" formatCode="#,##0.00_ ;\-#,##0.00\ "/>
    <numFmt numFmtId="213" formatCode="#,##0.00;[Red]#,##0.00"/>
    <numFmt numFmtId="214" formatCode="[$-F800]dddd\,\ mmmm\ dd\,\ yyyy"/>
  </numFmts>
  <fonts count="43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u val="single"/>
      <sz val="16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16"/>
      <color indexed="10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16"/>
      <color indexed="55"/>
      <name val="Angsana New"/>
      <family val="1"/>
    </font>
    <font>
      <sz val="16"/>
      <color indexed="55"/>
      <name val="Angsana New"/>
      <family val="1"/>
    </font>
    <font>
      <b/>
      <sz val="9"/>
      <name val="Tahoma"/>
      <family val="0"/>
    </font>
    <font>
      <sz val="9"/>
      <name val="Tahoma"/>
      <family val="0"/>
    </font>
    <font>
      <b/>
      <sz val="16"/>
      <color indexed="23"/>
      <name val="Angsana New"/>
      <family val="1"/>
    </font>
    <font>
      <sz val="16"/>
      <color indexed="23"/>
      <name val="Angsana New"/>
      <family val="1"/>
    </font>
    <font>
      <sz val="8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10"/>
      <name val="Angsana New"/>
      <family val="1"/>
    </font>
    <font>
      <sz val="16"/>
      <color indexed="10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2"/>
      <name val="Angsana New"/>
      <family val="1"/>
    </font>
    <font>
      <b/>
      <sz val="16"/>
      <color indexed="10"/>
      <name val="Cordia New"/>
      <family val="2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43" fontId="4" fillId="0" borderId="7" xfId="0" applyNumberFormat="1" applyFont="1" applyBorder="1" applyAlignment="1">
      <alignment/>
    </xf>
    <xf numFmtId="43" fontId="4" fillId="0" borderId="3" xfId="0" applyNumberFormat="1" applyFont="1" applyBorder="1" applyAlignment="1">
      <alignment/>
    </xf>
    <xf numFmtId="43" fontId="4" fillId="0" borderId="8" xfId="0" applyNumberFormat="1" applyFont="1" applyBorder="1" applyAlignment="1">
      <alignment/>
    </xf>
    <xf numFmtId="43" fontId="4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43" fontId="4" fillId="0" borderId="9" xfId="0" applyNumberFormat="1" applyFont="1" applyBorder="1" applyAlignment="1">
      <alignment horizontal="right"/>
    </xf>
    <xf numFmtId="43" fontId="4" fillId="0" borderId="7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0" fillId="0" borderId="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43" fontId="0" fillId="0" borderId="6" xfId="0" applyNumberFormat="1" applyFont="1" applyBorder="1" applyAlignment="1">
      <alignment/>
    </xf>
    <xf numFmtId="43" fontId="8" fillId="0" borderId="6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6" xfId="0" applyFont="1" applyBorder="1" applyAlignment="1">
      <alignment/>
    </xf>
    <xf numFmtId="43" fontId="13" fillId="0" borderId="6" xfId="0" applyNumberFormat="1" applyFont="1" applyBorder="1" applyAlignment="1">
      <alignment horizontal="right"/>
    </xf>
    <xf numFmtId="43" fontId="13" fillId="0" borderId="6" xfId="0" applyNumberFormat="1" applyFont="1" applyBorder="1" applyAlignment="1">
      <alignment/>
    </xf>
    <xf numFmtId="43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43" fontId="16" fillId="0" borderId="0" xfId="0" applyNumberFormat="1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49" fontId="15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23" xfId="0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/>
    </xf>
    <xf numFmtId="210" fontId="15" fillId="0" borderId="23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15" fillId="0" borderId="24" xfId="0" applyNumberFormat="1" applyFont="1" applyBorder="1" applyAlignment="1">
      <alignment/>
    </xf>
    <xf numFmtId="210" fontId="15" fillId="0" borderId="25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3" fontId="15" fillId="0" borderId="22" xfId="0" applyNumberFormat="1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3" fontId="15" fillId="0" borderId="29" xfId="0" applyNumberFormat="1" applyFont="1" applyBorder="1" applyAlignment="1">
      <alignment/>
    </xf>
    <xf numFmtId="210" fontId="15" fillId="0" borderId="27" xfId="0" applyNumberFormat="1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23" xfId="0" applyFont="1" applyBorder="1" applyAlignment="1">
      <alignment/>
    </xf>
    <xf numFmtId="3" fontId="15" fillId="0" borderId="5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10" xfId="0" applyNumberFormat="1" applyFont="1" applyBorder="1" applyAlignment="1">
      <alignment/>
    </xf>
    <xf numFmtId="210" fontId="15" fillId="0" borderId="3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26" xfId="0" applyFont="1" applyBorder="1" applyAlignment="1">
      <alignment/>
    </xf>
    <xf numFmtId="0" fontId="21" fillId="0" borderId="1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43" fontId="15" fillId="0" borderId="25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27" xfId="0" applyFont="1" applyBorder="1" applyAlignment="1">
      <alignment/>
    </xf>
    <xf numFmtId="210" fontId="15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19" fillId="0" borderId="4" xfId="0" applyFont="1" applyBorder="1" applyAlignment="1">
      <alignment horizontal="center"/>
    </xf>
    <xf numFmtId="43" fontId="15" fillId="0" borderId="0" xfId="17" applyFont="1" applyAlignment="1">
      <alignment/>
    </xf>
    <xf numFmtId="210" fontId="15" fillId="0" borderId="2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94" fontId="15" fillId="0" borderId="2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9" fontId="2" fillId="0" borderId="0" xfId="0" applyNumberFormat="1" applyFont="1" applyAlignment="1">
      <alignment horizontal="right"/>
    </xf>
    <xf numFmtId="43" fontId="15" fillId="0" borderId="0" xfId="17" applyFont="1" applyBorder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43" fontId="28" fillId="0" borderId="0" xfId="17" applyFont="1" applyBorder="1" applyAlignment="1">
      <alignment/>
    </xf>
    <xf numFmtId="0" fontId="2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43" fontId="13" fillId="0" borderId="7" xfId="0" applyNumberFormat="1" applyFont="1" applyBorder="1" applyAlignment="1">
      <alignment/>
    </xf>
    <xf numFmtId="43" fontId="13" fillId="0" borderId="3" xfId="0" applyNumberFormat="1" applyFont="1" applyBorder="1" applyAlignment="1">
      <alignment/>
    </xf>
    <xf numFmtId="43" fontId="13" fillId="0" borderId="8" xfId="0" applyNumberFormat="1" applyFont="1" applyBorder="1" applyAlignment="1">
      <alignment/>
    </xf>
    <xf numFmtId="43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6" xfId="0" applyNumberFormat="1" applyFont="1" applyBorder="1" applyAlignment="1">
      <alignment horizontal="right"/>
    </xf>
    <xf numFmtId="43" fontId="14" fillId="0" borderId="6" xfId="0" applyNumberFormat="1" applyFont="1" applyBorder="1" applyAlignment="1">
      <alignment horizontal="right"/>
    </xf>
    <xf numFmtId="43" fontId="14" fillId="0" borderId="6" xfId="0" applyNumberFormat="1" applyFont="1" applyBorder="1" applyAlignment="1">
      <alignment/>
    </xf>
    <xf numFmtId="43" fontId="14" fillId="0" borderId="9" xfId="0" applyNumberFormat="1" applyFont="1" applyBorder="1" applyAlignment="1">
      <alignment/>
    </xf>
    <xf numFmtId="0" fontId="13" fillId="0" borderId="6" xfId="0" applyFont="1" applyBorder="1" applyAlignment="1">
      <alignment/>
    </xf>
    <xf numFmtId="43" fontId="13" fillId="0" borderId="6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6" xfId="0" applyFont="1" applyBorder="1" applyAlignment="1">
      <alignment horizontal="left"/>
    </xf>
    <xf numFmtId="43" fontId="13" fillId="0" borderId="6" xfId="0" applyNumberFormat="1" applyFont="1" applyBorder="1" applyAlignment="1">
      <alignment/>
    </xf>
    <xf numFmtId="43" fontId="13" fillId="0" borderId="9" xfId="0" applyNumberFormat="1" applyFont="1" applyBorder="1" applyAlignment="1">
      <alignment/>
    </xf>
    <xf numFmtId="0" fontId="14" fillId="0" borderId="6" xfId="0" applyFont="1" applyBorder="1" applyAlignment="1">
      <alignment/>
    </xf>
    <xf numFmtId="43" fontId="13" fillId="0" borderId="9" xfId="0" applyNumberFormat="1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43" fontId="13" fillId="0" borderId="7" xfId="0" applyNumberFormat="1" applyFont="1" applyBorder="1" applyAlignment="1">
      <alignment horizontal="right"/>
    </xf>
    <xf numFmtId="43" fontId="13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0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 horizontal="center"/>
    </xf>
    <xf numFmtId="43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43" fontId="14" fillId="0" borderId="6" xfId="0" applyNumberFormat="1" applyFont="1" applyBorder="1" applyAlignment="1">
      <alignment horizontal="center"/>
    </xf>
    <xf numFmtId="43" fontId="13" fillId="0" borderId="34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31" fillId="0" borderId="0" xfId="0" applyFont="1" applyBorder="1" applyAlignment="1">
      <alignment/>
    </xf>
    <xf numFmtId="43" fontId="32" fillId="0" borderId="0" xfId="17" applyFont="1" applyBorder="1" applyAlignment="1">
      <alignment/>
    </xf>
    <xf numFmtId="0" fontId="32" fillId="0" borderId="0" xfId="0" applyFont="1" applyBorder="1" applyAlignment="1">
      <alignment horizontal="right"/>
    </xf>
    <xf numFmtId="43" fontId="19" fillId="0" borderId="0" xfId="17" applyFont="1" applyAlignment="1">
      <alignment/>
    </xf>
    <xf numFmtId="43" fontId="17" fillId="0" borderId="0" xfId="17" applyFont="1" applyAlignment="1">
      <alignment/>
    </xf>
    <xf numFmtId="43" fontId="14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9" fillId="0" borderId="0" xfId="0" applyFont="1" applyAlignment="1">
      <alignment/>
    </xf>
    <xf numFmtId="0" fontId="20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43" fontId="20" fillId="0" borderId="21" xfId="17" applyFont="1" applyBorder="1" applyAlignment="1">
      <alignment/>
    </xf>
    <xf numFmtId="0" fontId="20" fillId="0" borderId="7" xfId="0" applyFont="1" applyBorder="1" applyAlignment="1">
      <alignment horizontal="center"/>
    </xf>
    <xf numFmtId="0" fontId="15" fillId="0" borderId="7" xfId="0" applyFont="1" applyBorder="1" applyAlignment="1">
      <alignment/>
    </xf>
    <xf numFmtId="43" fontId="20" fillId="0" borderId="7" xfId="17" applyFont="1" applyBorder="1" applyAlignment="1">
      <alignment/>
    </xf>
    <xf numFmtId="0" fontId="25" fillId="0" borderId="6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3" fontId="20" fillId="0" borderId="35" xfId="17" applyFont="1" applyBorder="1" applyAlignment="1">
      <alignment/>
    </xf>
    <xf numFmtId="43" fontId="20" fillId="0" borderId="24" xfId="0" applyNumberFormat="1" applyFont="1" applyBorder="1" applyAlignment="1">
      <alignment/>
    </xf>
    <xf numFmtId="43" fontId="20" fillId="0" borderId="0" xfId="0" applyNumberFormat="1" applyFont="1" applyBorder="1" applyAlignment="1">
      <alignment/>
    </xf>
    <xf numFmtId="0" fontId="26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43" fontId="25" fillId="0" borderId="21" xfId="17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25" fillId="0" borderId="7" xfId="0" applyFont="1" applyBorder="1" applyAlignment="1">
      <alignment horizontal="center"/>
    </xf>
    <xf numFmtId="0" fontId="20" fillId="0" borderId="35" xfId="0" applyFont="1" applyBorder="1" applyAlignment="1">
      <alignment horizontal="left"/>
    </xf>
    <xf numFmtId="43" fontId="25" fillId="0" borderId="35" xfId="17" applyFont="1" applyBorder="1" applyAlignment="1">
      <alignment horizontal="right"/>
    </xf>
    <xf numFmtId="0" fontId="25" fillId="0" borderId="35" xfId="0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43" fontId="25" fillId="0" borderId="24" xfId="0" applyNumberFormat="1" applyFont="1" applyBorder="1" applyAlignment="1">
      <alignment horizontal="center"/>
    </xf>
    <xf numFmtId="43" fontId="25" fillId="0" borderId="36" xfId="17" applyFont="1" applyBorder="1" applyAlignment="1">
      <alignment horizontal="right"/>
    </xf>
    <xf numFmtId="43" fontId="25" fillId="0" borderId="37" xfId="17" applyFont="1" applyBorder="1" applyAlignment="1">
      <alignment horizontal="center"/>
    </xf>
    <xf numFmtId="43" fontId="25" fillId="0" borderId="6" xfId="17" applyFont="1" applyBorder="1" applyAlignment="1">
      <alignment horizontal="center"/>
    </xf>
    <xf numFmtId="43" fontId="25" fillId="0" borderId="36" xfId="17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43" fontId="25" fillId="0" borderId="6" xfId="0" applyNumberFormat="1" applyFont="1" applyBorder="1" applyAlignment="1">
      <alignment horizontal="center"/>
    </xf>
    <xf numFmtId="43" fontId="24" fillId="0" borderId="0" xfId="17" applyFont="1" applyAlignment="1">
      <alignment/>
    </xf>
    <xf numFmtId="43" fontId="19" fillId="0" borderId="0" xfId="17" applyFont="1" applyAlignment="1">
      <alignment horizontal="center"/>
    </xf>
    <xf numFmtId="41" fontId="15" fillId="0" borderId="4" xfId="0" applyNumberFormat="1" applyFont="1" applyBorder="1" applyAlignment="1">
      <alignment horizontal="right"/>
    </xf>
    <xf numFmtId="41" fontId="15" fillId="0" borderId="4" xfId="0" applyNumberFormat="1" applyFont="1" applyBorder="1" applyAlignment="1">
      <alignment horizontal="center"/>
    </xf>
    <xf numFmtId="41" fontId="15" fillId="0" borderId="0" xfId="0" applyNumberFormat="1" applyFont="1" applyAlignment="1">
      <alignment horizontal="center"/>
    </xf>
    <xf numFmtId="41" fontId="15" fillId="0" borderId="5" xfId="0" applyNumberFormat="1" applyFont="1" applyBorder="1" applyAlignment="1">
      <alignment horizontal="center"/>
    </xf>
    <xf numFmtId="41" fontId="15" fillId="0" borderId="4" xfId="0" applyNumberFormat="1" applyFont="1" applyBorder="1" applyAlignment="1">
      <alignment/>
    </xf>
    <xf numFmtId="41" fontId="15" fillId="0" borderId="22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43" fontId="15" fillId="0" borderId="38" xfId="17" applyFont="1" applyBorder="1" applyAlignment="1">
      <alignment/>
    </xf>
    <xf numFmtId="43" fontId="15" fillId="0" borderId="39" xfId="17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21" xfId="0" applyFont="1" applyBorder="1" applyAlignment="1">
      <alignment horizontal="left" vertical="center"/>
    </xf>
    <xf numFmtId="49" fontId="35" fillId="0" borderId="21" xfId="0" applyNumberFormat="1" applyFont="1" applyBorder="1" applyAlignment="1">
      <alignment horizontal="center" vertical="center"/>
    </xf>
    <xf numFmtId="41" fontId="35" fillId="0" borderId="40" xfId="0" applyNumberFormat="1" applyFont="1" applyBorder="1" applyAlignment="1">
      <alignment horizontal="right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21" xfId="0" applyFont="1" applyBorder="1" applyAlignment="1">
      <alignment/>
    </xf>
    <xf numFmtId="49" fontId="35" fillId="0" borderId="21" xfId="0" applyNumberFormat="1" applyFont="1" applyBorder="1" applyAlignment="1">
      <alignment horizontal="center"/>
    </xf>
    <xf numFmtId="3" fontId="35" fillId="0" borderId="44" xfId="0" applyNumberFormat="1" applyFont="1" applyBorder="1" applyAlignment="1">
      <alignment/>
    </xf>
    <xf numFmtId="210" fontId="35" fillId="0" borderId="45" xfId="0" applyNumberFormat="1" applyFont="1" applyBorder="1" applyAlignment="1">
      <alignment horizontal="center"/>
    </xf>
    <xf numFmtId="3" fontId="35" fillId="0" borderId="44" xfId="0" applyNumberFormat="1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3" fontId="35" fillId="0" borderId="44" xfId="0" applyNumberFormat="1" applyFont="1" applyBorder="1" applyAlignment="1">
      <alignment horizontal="right"/>
    </xf>
    <xf numFmtId="210" fontId="35" fillId="0" borderId="46" xfId="0" applyNumberFormat="1" applyFont="1" applyBorder="1" applyAlignment="1">
      <alignment horizontal="center"/>
    </xf>
    <xf numFmtId="210" fontId="35" fillId="0" borderId="47" xfId="0" applyNumberFormat="1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3" fontId="35" fillId="0" borderId="48" xfId="0" applyNumberFormat="1" applyFont="1" applyBorder="1" applyAlignment="1">
      <alignment/>
    </xf>
    <xf numFmtId="210" fontId="35" fillId="0" borderId="49" xfId="0" applyNumberFormat="1" applyFont="1" applyBorder="1" applyAlignment="1">
      <alignment horizontal="center"/>
    </xf>
    <xf numFmtId="0" fontId="36" fillId="0" borderId="21" xfId="0" applyFont="1" applyBorder="1" applyAlignment="1">
      <alignment/>
    </xf>
    <xf numFmtId="3" fontId="35" fillId="0" borderId="48" xfId="0" applyNumberFormat="1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7" xfId="0" applyFont="1" applyBorder="1" applyAlignment="1">
      <alignment/>
    </xf>
    <xf numFmtId="49" fontId="35" fillId="0" borderId="7" xfId="0" applyNumberFormat="1" applyFont="1" applyBorder="1" applyAlignment="1">
      <alignment horizontal="center"/>
    </xf>
    <xf numFmtId="3" fontId="35" fillId="0" borderId="48" xfId="0" applyNumberFormat="1" applyFont="1" applyBorder="1" applyAlignment="1">
      <alignment horizontal="right"/>
    </xf>
    <xf numFmtId="0" fontId="35" fillId="0" borderId="4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3" fontId="35" fillId="0" borderId="50" xfId="0" applyNumberFormat="1" applyFont="1" applyBorder="1" applyAlignment="1">
      <alignment/>
    </xf>
    <xf numFmtId="210" fontId="35" fillId="0" borderId="39" xfId="0" applyNumberFormat="1" applyFont="1" applyBorder="1" applyAlignment="1">
      <alignment horizontal="center"/>
    </xf>
    <xf numFmtId="210" fontId="35" fillId="0" borderId="51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/>
    </xf>
    <xf numFmtId="210" fontId="35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" fontId="15" fillId="0" borderId="39" xfId="17" applyNumberFormat="1" applyFont="1" applyBorder="1" applyAlignment="1">
      <alignment/>
    </xf>
    <xf numFmtId="43" fontId="13" fillId="0" borderId="34" xfId="0" applyNumberFormat="1" applyFont="1" applyBorder="1" applyAlignment="1">
      <alignment horizontal="center"/>
    </xf>
    <xf numFmtId="43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43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3" fontId="4" fillId="0" borderId="20" xfId="0" applyNumberFormat="1" applyFont="1" applyBorder="1" applyAlignment="1">
      <alignment horizontal="right"/>
    </xf>
    <xf numFmtId="43" fontId="4" fillId="0" borderId="34" xfId="0" applyNumberFormat="1" applyFont="1" applyBorder="1" applyAlignment="1">
      <alignment horizontal="right"/>
    </xf>
    <xf numFmtId="43" fontId="0" fillId="0" borderId="34" xfId="0" applyNumberFormat="1" applyFont="1" applyBorder="1" applyAlignment="1">
      <alignment horizontal="center"/>
    </xf>
    <xf numFmtId="43" fontId="0" fillId="0" borderId="3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34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25" fillId="0" borderId="52" xfId="17" applyFont="1" applyBorder="1" applyAlignment="1">
      <alignment horizontal="right"/>
    </xf>
    <xf numFmtId="43" fontId="19" fillId="0" borderId="0" xfId="0" applyNumberFormat="1" applyFont="1" applyAlignment="1">
      <alignment/>
    </xf>
    <xf numFmtId="0" fontId="26" fillId="0" borderId="37" xfId="0" applyFont="1" applyBorder="1" applyAlignment="1">
      <alignment horizontal="left"/>
    </xf>
    <xf numFmtId="214" fontId="2" fillId="0" borderId="0" xfId="0" applyNumberFormat="1" applyFont="1" applyAlignment="1">
      <alignment/>
    </xf>
    <xf numFmtId="43" fontId="32" fillId="0" borderId="0" xfId="17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43" fontId="15" fillId="0" borderId="24" xfId="17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43" fontId="15" fillId="0" borderId="20" xfId="17" applyFont="1" applyBorder="1" applyAlignment="1">
      <alignment/>
    </xf>
    <xf numFmtId="0" fontId="15" fillId="0" borderId="21" xfId="0" applyFont="1" applyBorder="1" applyAlignment="1">
      <alignment/>
    </xf>
    <xf numFmtId="43" fontId="15" fillId="0" borderId="21" xfId="17" applyFont="1" applyBorder="1" applyAlignment="1">
      <alignment/>
    </xf>
    <xf numFmtId="0" fontId="25" fillId="0" borderId="0" xfId="0" applyFont="1" applyBorder="1" applyAlignment="1">
      <alignment horizontal="center"/>
    </xf>
    <xf numFmtId="43" fontId="25" fillId="0" borderId="6" xfId="17" applyFont="1" applyBorder="1" applyAlignment="1">
      <alignment horizontal="right"/>
    </xf>
    <xf numFmtId="49" fontId="0" fillId="0" borderId="7" xfId="0" applyNumberFormat="1" applyFont="1" applyBorder="1" applyAlignment="1">
      <alignment/>
    </xf>
    <xf numFmtId="43" fontId="0" fillId="0" borderId="7" xfId="0" applyNumberFormat="1" applyFont="1" applyBorder="1" applyAlignment="1">
      <alignment/>
    </xf>
    <xf numFmtId="43" fontId="0" fillId="0" borderId="3" xfId="0" applyNumberFormat="1" applyFont="1" applyBorder="1" applyAlignment="1">
      <alignment/>
    </xf>
    <xf numFmtId="43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43" fontId="0" fillId="0" borderId="6" xfId="0" applyNumberFormat="1" applyFont="1" applyBorder="1" applyAlignment="1">
      <alignment horizontal="right"/>
    </xf>
    <xf numFmtId="43" fontId="0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43" fontId="8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43" fontId="0" fillId="0" borderId="9" xfId="0" applyNumberFormat="1" applyFont="1" applyBorder="1" applyAlignment="1">
      <alignment horizontal="right"/>
    </xf>
    <xf numFmtId="43" fontId="8" fillId="0" borderId="20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43" fontId="0" fillId="0" borderId="7" xfId="0" applyNumberFormat="1" applyFont="1" applyBorder="1" applyAlignment="1">
      <alignment horizontal="right"/>
    </xf>
    <xf numFmtId="43" fontId="0" fillId="0" borderId="3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0" fontId="8" fillId="0" borderId="0" xfId="0" applyFont="1" applyBorder="1" applyAlignment="1">
      <alignment/>
    </xf>
    <xf numFmtId="43" fontId="8" fillId="0" borderId="34" xfId="0" applyNumberFormat="1" applyFont="1" applyBorder="1" applyAlignment="1">
      <alignment horizontal="right"/>
    </xf>
    <xf numFmtId="43" fontId="8" fillId="0" borderId="34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49" fontId="20" fillId="0" borderId="8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4" xfId="0" applyNumberFormat="1" applyFont="1" applyBorder="1" applyAlignment="1">
      <alignment/>
    </xf>
    <xf numFmtId="49" fontId="20" fillId="0" borderId="15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/>
    </xf>
    <xf numFmtId="49" fontId="20" fillId="0" borderId="7" xfId="0" applyNumberFormat="1" applyFont="1" applyBorder="1" applyAlignment="1">
      <alignment/>
    </xf>
    <xf numFmtId="43" fontId="20" fillId="0" borderId="7" xfId="0" applyNumberFormat="1" applyFont="1" applyBorder="1" applyAlignment="1">
      <alignment/>
    </xf>
    <xf numFmtId="43" fontId="20" fillId="0" borderId="3" xfId="0" applyNumberFormat="1" applyFont="1" applyBorder="1" applyAlignment="1">
      <alignment/>
    </xf>
    <xf numFmtId="43" fontId="20" fillId="0" borderId="8" xfId="0" applyNumberFormat="1" applyFont="1" applyBorder="1" applyAlignment="1">
      <alignment/>
    </xf>
    <xf numFmtId="49" fontId="20" fillId="0" borderId="6" xfId="0" applyNumberFormat="1" applyFont="1" applyBorder="1" applyAlignment="1">
      <alignment horizontal="right"/>
    </xf>
    <xf numFmtId="43" fontId="20" fillId="0" borderId="6" xfId="0" applyNumberFormat="1" applyFont="1" applyBorder="1" applyAlignment="1">
      <alignment horizontal="right"/>
    </xf>
    <xf numFmtId="43" fontId="20" fillId="0" borderId="6" xfId="0" applyNumberFormat="1" applyFont="1" applyBorder="1" applyAlignment="1">
      <alignment/>
    </xf>
    <xf numFmtId="43" fontId="20" fillId="0" borderId="9" xfId="0" applyNumberFormat="1" applyFont="1" applyBorder="1" applyAlignment="1">
      <alignment/>
    </xf>
    <xf numFmtId="0" fontId="38" fillId="0" borderId="6" xfId="0" applyFont="1" applyBorder="1" applyAlignment="1">
      <alignment/>
    </xf>
    <xf numFmtId="43" fontId="38" fillId="0" borderId="6" xfId="0" applyNumberFormat="1" applyFont="1" applyBorder="1" applyAlignment="1">
      <alignment horizontal="right"/>
    </xf>
    <xf numFmtId="43" fontId="38" fillId="0" borderId="6" xfId="0" applyNumberFormat="1" applyFont="1" applyBorder="1" applyAlignment="1">
      <alignment/>
    </xf>
    <xf numFmtId="0" fontId="38" fillId="0" borderId="0" xfId="0" applyFont="1" applyAlignment="1">
      <alignment/>
    </xf>
    <xf numFmtId="0" fontId="20" fillId="0" borderId="6" xfId="0" applyFont="1" applyBorder="1" applyAlignment="1">
      <alignment horizontal="left"/>
    </xf>
    <xf numFmtId="43" fontId="20" fillId="0" borderId="9" xfId="0" applyNumberFormat="1" applyFont="1" applyBorder="1" applyAlignment="1">
      <alignment horizontal="right"/>
    </xf>
    <xf numFmtId="43" fontId="38" fillId="0" borderId="20" xfId="0" applyNumberFormat="1" applyFont="1" applyBorder="1" applyAlignment="1">
      <alignment horizontal="right"/>
    </xf>
    <xf numFmtId="43" fontId="20" fillId="0" borderId="7" xfId="0" applyNumberFormat="1" applyFont="1" applyBorder="1" applyAlignment="1">
      <alignment horizontal="right"/>
    </xf>
    <xf numFmtId="43" fontId="20" fillId="0" borderId="3" xfId="0" applyNumberFormat="1" applyFont="1" applyBorder="1" applyAlignment="1">
      <alignment horizontal="right"/>
    </xf>
    <xf numFmtId="0" fontId="38" fillId="0" borderId="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43" fontId="38" fillId="0" borderId="0" xfId="0" applyNumberFormat="1" applyFont="1" applyBorder="1" applyAlignment="1">
      <alignment horizontal="right"/>
    </xf>
    <xf numFmtId="43" fontId="20" fillId="0" borderId="0" xfId="0" applyNumberFormat="1" applyFont="1" applyBorder="1" applyAlignment="1">
      <alignment horizontal="right"/>
    </xf>
    <xf numFmtId="43" fontId="38" fillId="0" borderId="0" xfId="0" applyNumberFormat="1" applyFont="1" applyBorder="1" applyAlignment="1">
      <alignment/>
    </xf>
    <xf numFmtId="43" fontId="39" fillId="0" borderId="0" xfId="0" applyNumberFormat="1" applyFont="1" applyBorder="1" applyAlignment="1">
      <alignment horizontal="right"/>
    </xf>
    <xf numFmtId="43" fontId="20" fillId="0" borderId="0" xfId="0" applyNumberFormat="1" applyFont="1" applyBorder="1" applyAlignment="1">
      <alignment horizontal="center"/>
    </xf>
    <xf numFmtId="43" fontId="39" fillId="0" borderId="0" xfId="0" applyNumberFormat="1" applyFont="1" applyBorder="1" applyAlignment="1">
      <alignment/>
    </xf>
    <xf numFmtId="0" fontId="20" fillId="0" borderId="6" xfId="0" applyFont="1" applyBorder="1" applyAlignment="1">
      <alignment horizontal="right"/>
    </xf>
    <xf numFmtId="0" fontId="38" fillId="0" borderId="0" xfId="0" applyFont="1" applyBorder="1" applyAlignment="1">
      <alignment/>
    </xf>
    <xf numFmtId="43" fontId="38" fillId="0" borderId="34" xfId="0" applyNumberFormat="1" applyFont="1" applyBorder="1" applyAlignment="1">
      <alignment horizontal="right"/>
    </xf>
    <xf numFmtId="43" fontId="38" fillId="0" borderId="34" xfId="0" applyNumberFormat="1" applyFont="1" applyBorder="1" applyAlignment="1">
      <alignment/>
    </xf>
    <xf numFmtId="0" fontId="39" fillId="0" borderId="0" xfId="0" applyFont="1" applyBorder="1" applyAlignment="1">
      <alignment/>
    </xf>
    <xf numFmtId="43" fontId="25" fillId="0" borderId="0" xfId="0" applyNumberFormat="1" applyFont="1" applyBorder="1" applyAlignment="1">
      <alignment horizontal="right"/>
    </xf>
    <xf numFmtId="0" fontId="25" fillId="0" borderId="35" xfId="0" applyFont="1" applyBorder="1" applyAlignment="1">
      <alignment horizontal="left"/>
    </xf>
    <xf numFmtId="49" fontId="13" fillId="0" borderId="53" xfId="0" applyNumberFormat="1" applyFont="1" applyBorder="1" applyAlignment="1">
      <alignment/>
    </xf>
    <xf numFmtId="49" fontId="13" fillId="0" borderId="54" xfId="0" applyNumberFormat="1" applyFont="1" applyBorder="1" applyAlignment="1">
      <alignment/>
    </xf>
    <xf numFmtId="0" fontId="13" fillId="0" borderId="7" xfId="0" applyFont="1" applyBorder="1" applyAlignment="1">
      <alignment horizontal="left"/>
    </xf>
    <xf numFmtId="43" fontId="13" fillId="0" borderId="7" xfId="0" applyNumberFormat="1" applyFont="1" applyBorder="1" applyAlignment="1">
      <alignment horizontal="right"/>
    </xf>
    <xf numFmtId="43" fontId="13" fillId="0" borderId="3" xfId="0" applyNumberFormat="1" applyFont="1" applyBorder="1" applyAlignment="1">
      <alignment horizontal="right"/>
    </xf>
    <xf numFmtId="43" fontId="13" fillId="0" borderId="7" xfId="0" applyNumberFormat="1" applyFont="1" applyBorder="1" applyAlignment="1">
      <alignment/>
    </xf>
    <xf numFmtId="43" fontId="13" fillId="0" borderId="3" xfId="0" applyNumberFormat="1" applyFont="1" applyBorder="1" applyAlignment="1">
      <alignment/>
    </xf>
    <xf numFmtId="43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43" fontId="13" fillId="0" borderId="9" xfId="0" applyNumberFormat="1" applyFont="1" applyBorder="1" applyAlignment="1">
      <alignment horizontal="right"/>
    </xf>
    <xf numFmtId="43" fontId="13" fillId="0" borderId="9" xfId="0" applyNumberFormat="1" applyFont="1" applyBorder="1" applyAlignment="1">
      <alignment/>
    </xf>
    <xf numFmtId="0" fontId="13" fillId="0" borderId="7" xfId="0" applyFont="1" applyBorder="1" applyAlignment="1">
      <alignment/>
    </xf>
    <xf numFmtId="43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43" fontId="13" fillId="0" borderId="34" xfId="0" applyNumberFormat="1" applyFont="1" applyBorder="1" applyAlignment="1">
      <alignment horizontal="right"/>
    </xf>
    <xf numFmtId="43" fontId="14" fillId="0" borderId="34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43" fontId="13" fillId="0" borderId="8" xfId="0" applyNumberFormat="1" applyFont="1" applyBorder="1" applyAlignment="1">
      <alignment/>
    </xf>
    <xf numFmtId="43" fontId="14" fillId="0" borderId="8" xfId="0" applyNumberFormat="1" applyFont="1" applyBorder="1" applyAlignment="1">
      <alignment/>
    </xf>
    <xf numFmtId="49" fontId="14" fillId="0" borderId="6" xfId="0" applyNumberFormat="1" applyFont="1" applyBorder="1" applyAlignment="1">
      <alignment horizontal="right"/>
    </xf>
    <xf numFmtId="43" fontId="14" fillId="0" borderId="9" xfId="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43" fontId="14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15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3" fontId="32" fillId="0" borderId="0" xfId="17" applyFont="1" applyBorder="1" applyAlignment="1">
      <alignment horizontal="center"/>
    </xf>
    <xf numFmtId="0" fontId="22" fillId="0" borderId="57" xfId="0" applyFont="1" applyBorder="1" applyAlignment="1">
      <alignment horizontal="right"/>
    </xf>
    <xf numFmtId="0" fontId="3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6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3" fontId="2" fillId="0" borderId="5" xfId="17" applyFont="1" applyBorder="1" applyAlignment="1">
      <alignment horizontal="right"/>
    </xf>
    <xf numFmtId="43" fontId="2" fillId="0" borderId="2" xfId="17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2" fillId="0" borderId="62" xfId="17" applyFont="1" applyBorder="1" applyAlignment="1">
      <alignment horizontal="right"/>
    </xf>
    <xf numFmtId="43" fontId="2" fillId="0" borderId="34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4" xfId="17" applyFont="1" applyBorder="1" applyAlignment="1">
      <alignment horizontal="right"/>
    </xf>
    <xf numFmtId="43" fontId="2" fillId="0" borderId="0" xfId="17" applyFont="1" applyBorder="1" applyAlignment="1">
      <alignment horizontal="right"/>
    </xf>
    <xf numFmtId="43" fontId="18" fillId="0" borderId="5" xfId="17" applyFont="1" applyBorder="1" applyAlignment="1">
      <alignment horizontal="right"/>
    </xf>
    <xf numFmtId="43" fontId="18" fillId="0" borderId="2" xfId="17" applyFont="1" applyBorder="1" applyAlignment="1">
      <alignment horizontal="right"/>
    </xf>
    <xf numFmtId="43" fontId="18" fillId="0" borderId="62" xfId="17" applyFont="1" applyBorder="1" applyAlignment="1">
      <alignment horizontal="right"/>
    </xf>
    <xf numFmtId="43" fontId="18" fillId="0" borderId="34" xfId="17" applyFont="1" applyBorder="1" applyAlignment="1">
      <alignment horizontal="right"/>
    </xf>
    <xf numFmtId="43" fontId="2" fillId="0" borderId="4" xfId="17" applyFont="1" applyBorder="1" applyAlignment="1">
      <alignment horizontal="right"/>
    </xf>
    <xf numFmtId="43" fontId="2" fillId="0" borderId="0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2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20" fillId="0" borderId="2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49" fontId="13" fillId="0" borderId="54" xfId="0" applyNumberFormat="1" applyFont="1" applyBorder="1" applyAlignment="1">
      <alignment horizontal="center"/>
    </xf>
    <xf numFmtId="43" fontId="1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3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49" fontId="13" fillId="0" borderId="54" xfId="0" applyNumberFormat="1" applyFont="1" applyBorder="1" applyAlignment="1">
      <alignment horizontal="center"/>
    </xf>
    <xf numFmtId="49" fontId="13" fillId="0" borderId="64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3" fontId="20" fillId="0" borderId="34" xfId="0" applyNumberFormat="1" applyFont="1" applyBorder="1" applyAlignment="1">
      <alignment horizontal="center"/>
    </xf>
    <xf numFmtId="43" fontId="20" fillId="0" borderId="0" xfId="0" applyNumberFormat="1" applyFont="1" applyBorder="1" applyAlignment="1">
      <alignment horizontal="center"/>
    </xf>
    <xf numFmtId="49" fontId="20" fillId="0" borderId="53" xfId="0" applyNumberFormat="1" applyFont="1" applyBorder="1" applyAlignment="1">
      <alignment horizontal="center"/>
    </xf>
    <xf numFmtId="49" fontId="20" fillId="0" borderId="54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3" fontId="0" fillId="0" borderId="34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3" fontId="0" fillId="0" borderId="34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17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zoomScaleSheetLayoutView="100" workbookViewId="0" topLeftCell="A64">
      <selection activeCell="A34" sqref="A34"/>
    </sheetView>
  </sheetViews>
  <sheetFormatPr defaultColWidth="9.140625" defaultRowHeight="21.75"/>
  <cols>
    <col min="1" max="1" width="13.7109375" style="94" customWidth="1"/>
    <col min="2" max="2" width="6.8515625" style="94" customWidth="1"/>
    <col min="3" max="3" width="13.7109375" style="94" customWidth="1"/>
    <col min="4" max="4" width="6.8515625" style="94" customWidth="1"/>
    <col min="5" max="5" width="4.421875" style="94" customWidth="1"/>
    <col min="6" max="6" width="37.28125" style="94" customWidth="1"/>
    <col min="7" max="7" width="8.00390625" style="121" customWidth="1"/>
    <col min="8" max="8" width="13.7109375" style="94" customWidth="1"/>
    <col min="9" max="9" width="6.8515625" style="94" customWidth="1"/>
    <col min="10" max="10" width="9.140625" style="94" customWidth="1"/>
    <col min="11" max="11" width="12.7109375" style="214" customWidth="1"/>
    <col min="12" max="12" width="11.8515625" style="214" customWidth="1"/>
    <col min="13" max="14" width="12.7109375" style="214" bestFit="1" customWidth="1"/>
    <col min="15" max="15" width="13.421875" style="214" customWidth="1"/>
    <col min="16" max="16" width="12.7109375" style="94" bestFit="1" customWidth="1"/>
    <col min="17" max="16384" width="9.140625" style="94" customWidth="1"/>
  </cols>
  <sheetData>
    <row r="1" spans="1:15" s="144" customFormat="1" ht="29.25">
      <c r="A1" s="459" t="s">
        <v>22</v>
      </c>
      <c r="B1" s="459"/>
      <c r="C1" s="459"/>
      <c r="D1" s="459"/>
      <c r="E1" s="459"/>
      <c r="F1" s="459"/>
      <c r="G1" s="459"/>
      <c r="H1" s="459"/>
      <c r="I1" s="459"/>
      <c r="K1" s="248"/>
      <c r="L1" s="248"/>
      <c r="M1" s="248"/>
      <c r="N1" s="248"/>
      <c r="O1" s="248"/>
    </row>
    <row r="2" spans="1:15" s="144" customFormat="1" ht="29.25">
      <c r="A2" s="459" t="s">
        <v>71</v>
      </c>
      <c r="B2" s="459"/>
      <c r="C2" s="459"/>
      <c r="D2" s="459"/>
      <c r="E2" s="459"/>
      <c r="F2" s="459"/>
      <c r="G2" s="459"/>
      <c r="H2" s="459"/>
      <c r="I2" s="459"/>
      <c r="K2" s="248"/>
      <c r="L2" s="248"/>
      <c r="M2" s="248"/>
      <c r="N2" s="248"/>
      <c r="O2" s="248"/>
    </row>
    <row r="3" spans="1:15" s="144" customFormat="1" ht="29.25">
      <c r="A3" s="145"/>
      <c r="B3" s="145"/>
      <c r="C3" s="145"/>
      <c r="D3" s="145"/>
      <c r="E3" s="145"/>
      <c r="F3" s="145"/>
      <c r="G3" s="146" t="s">
        <v>190</v>
      </c>
      <c r="I3" s="145"/>
      <c r="K3" s="248"/>
      <c r="L3" s="248"/>
      <c r="M3" s="248"/>
      <c r="N3" s="248"/>
      <c r="O3" s="248"/>
    </row>
    <row r="4" spans="1:9" ht="31.5">
      <c r="A4" s="460" t="s">
        <v>23</v>
      </c>
      <c r="B4" s="460"/>
      <c r="C4" s="460"/>
      <c r="D4" s="460"/>
      <c r="E4" s="460"/>
      <c r="F4" s="460"/>
      <c r="G4" s="460"/>
      <c r="H4" s="460"/>
      <c r="I4" s="460"/>
    </row>
    <row r="5" spans="1:15" s="144" customFormat="1" ht="30" thickBot="1">
      <c r="A5" s="147"/>
      <c r="B5" s="147"/>
      <c r="C5" s="147"/>
      <c r="D5" s="147"/>
      <c r="E5" s="147"/>
      <c r="F5" s="472" t="s">
        <v>298</v>
      </c>
      <c r="G5" s="472"/>
      <c r="H5" s="472"/>
      <c r="I5" s="147"/>
      <c r="K5" s="248"/>
      <c r="L5" s="248"/>
      <c r="M5" s="248"/>
      <c r="N5" s="248"/>
      <c r="O5" s="248"/>
    </row>
    <row r="6" spans="1:9" ht="24" thickTop="1">
      <c r="A6" s="461" t="s">
        <v>24</v>
      </c>
      <c r="B6" s="462"/>
      <c r="C6" s="462"/>
      <c r="D6" s="463"/>
      <c r="E6" s="464"/>
      <c r="F6" s="465"/>
      <c r="G6" s="131"/>
      <c r="H6" s="461" t="s">
        <v>25</v>
      </c>
      <c r="I6" s="463"/>
    </row>
    <row r="7" spans="1:9" ht="23.25">
      <c r="A7" s="466" t="s">
        <v>26</v>
      </c>
      <c r="B7" s="467"/>
      <c r="C7" s="468" t="s">
        <v>27</v>
      </c>
      <c r="D7" s="469"/>
      <c r="E7" s="470" t="s">
        <v>28</v>
      </c>
      <c r="F7" s="468"/>
      <c r="G7" s="97" t="s">
        <v>29</v>
      </c>
      <c r="H7" s="470" t="s">
        <v>27</v>
      </c>
      <c r="I7" s="469"/>
    </row>
    <row r="8" spans="1:9" ht="24" thickBot="1">
      <c r="A8" s="455" t="s">
        <v>30</v>
      </c>
      <c r="B8" s="456"/>
      <c r="C8" s="457" t="s">
        <v>30</v>
      </c>
      <c r="D8" s="456"/>
      <c r="E8" s="455"/>
      <c r="F8" s="457"/>
      <c r="G8" s="132" t="s">
        <v>31</v>
      </c>
      <c r="H8" s="455" t="s">
        <v>30</v>
      </c>
      <c r="I8" s="456"/>
    </row>
    <row r="9" spans="1:9" ht="24" thickTop="1">
      <c r="A9" s="141"/>
      <c r="B9" s="142"/>
      <c r="C9" s="140">
        <v>4837463</v>
      </c>
      <c r="D9" s="123">
        <v>19</v>
      </c>
      <c r="E9" s="133" t="s">
        <v>32</v>
      </c>
      <c r="F9" s="134"/>
      <c r="G9" s="131"/>
      <c r="H9" s="107">
        <v>7458304</v>
      </c>
      <c r="I9" s="123">
        <v>18</v>
      </c>
    </row>
    <row r="10" spans="1:9" ht="23.25">
      <c r="A10" s="124"/>
      <c r="B10" s="125"/>
      <c r="C10" s="124"/>
      <c r="D10" s="106"/>
      <c r="E10" s="102" t="s">
        <v>289</v>
      </c>
      <c r="F10" s="135"/>
      <c r="G10" s="97"/>
      <c r="H10" s="124"/>
      <c r="I10" s="106"/>
    </row>
    <row r="11" spans="1:9" ht="23.25">
      <c r="A11" s="107">
        <v>8465500</v>
      </c>
      <c r="B11" s="106" t="s">
        <v>70</v>
      </c>
      <c r="C11" s="107">
        <v>7859329</v>
      </c>
      <c r="D11" s="109">
        <v>9</v>
      </c>
      <c r="F11" s="103" t="s">
        <v>33</v>
      </c>
      <c r="G11" s="97" t="s">
        <v>191</v>
      </c>
      <c r="H11" s="108">
        <v>1138340</v>
      </c>
      <c r="I11" s="106">
        <v>56</v>
      </c>
    </row>
    <row r="12" spans="1:9" ht="23.25">
      <c r="A12" s="108">
        <v>51300</v>
      </c>
      <c r="B12" s="106" t="s">
        <v>70</v>
      </c>
      <c r="C12" s="108">
        <v>80955</v>
      </c>
      <c r="D12" s="106">
        <v>72</v>
      </c>
      <c r="F12" s="103" t="s">
        <v>34</v>
      </c>
      <c r="G12" s="97" t="s">
        <v>192</v>
      </c>
      <c r="H12" s="108">
        <v>5230</v>
      </c>
      <c r="I12" s="106" t="s">
        <v>70</v>
      </c>
    </row>
    <row r="13" spans="1:9" ht="23.25">
      <c r="A13" s="108">
        <v>32000</v>
      </c>
      <c r="B13" s="106" t="s">
        <v>70</v>
      </c>
      <c r="C13" s="250">
        <v>6433</v>
      </c>
      <c r="D13" s="109">
        <v>94</v>
      </c>
      <c r="F13" s="103" t="s">
        <v>35</v>
      </c>
      <c r="G13" s="97" t="s">
        <v>193</v>
      </c>
      <c r="H13" s="250">
        <v>0</v>
      </c>
      <c r="I13" s="109" t="s">
        <v>70</v>
      </c>
    </row>
    <row r="14" spans="1:9" ht="23.25">
      <c r="A14" s="108">
        <v>184300</v>
      </c>
      <c r="B14" s="106" t="s">
        <v>70</v>
      </c>
      <c r="C14" s="108">
        <v>155649</v>
      </c>
      <c r="D14" s="106" t="s">
        <v>70</v>
      </c>
      <c r="F14" s="103" t="s">
        <v>36</v>
      </c>
      <c r="G14" s="97" t="s">
        <v>194</v>
      </c>
      <c r="H14" s="108">
        <v>18396</v>
      </c>
      <c r="I14" s="106" t="s">
        <v>70</v>
      </c>
    </row>
    <row r="15" spans="1:9" ht="23.25">
      <c r="A15" s="108">
        <v>75000</v>
      </c>
      <c r="B15" s="106" t="s">
        <v>70</v>
      </c>
      <c r="C15" s="250">
        <v>12100</v>
      </c>
      <c r="D15" s="106" t="s">
        <v>70</v>
      </c>
      <c r="F15" s="103" t="s">
        <v>37</v>
      </c>
      <c r="G15" s="97" t="s">
        <v>195</v>
      </c>
      <c r="H15" s="251">
        <v>0</v>
      </c>
      <c r="I15" s="106" t="s">
        <v>70</v>
      </c>
    </row>
    <row r="16" spans="1:9" ht="23.25">
      <c r="A16" s="136" t="s">
        <v>70</v>
      </c>
      <c r="B16" s="106" t="s">
        <v>70</v>
      </c>
      <c r="C16" s="251">
        <v>0</v>
      </c>
      <c r="D16" s="106" t="s">
        <v>70</v>
      </c>
      <c r="F16" s="103" t="s">
        <v>38</v>
      </c>
      <c r="G16" s="97" t="s">
        <v>196</v>
      </c>
      <c r="H16" s="251">
        <v>0</v>
      </c>
      <c r="I16" s="106" t="s">
        <v>70</v>
      </c>
    </row>
    <row r="17" spans="1:9" ht="23.25">
      <c r="A17" s="136" t="s">
        <v>70</v>
      </c>
      <c r="B17" s="106" t="s">
        <v>70</v>
      </c>
      <c r="C17" s="251">
        <v>0</v>
      </c>
      <c r="D17" s="106" t="s">
        <v>70</v>
      </c>
      <c r="F17" s="103" t="s">
        <v>39</v>
      </c>
      <c r="G17" s="97" t="s">
        <v>197</v>
      </c>
      <c r="H17" s="252">
        <v>0</v>
      </c>
      <c r="I17" s="106" t="s">
        <v>70</v>
      </c>
    </row>
    <row r="18" spans="1:9" ht="23.25">
      <c r="A18" s="108">
        <v>8071150</v>
      </c>
      <c r="B18" s="119" t="s">
        <v>70</v>
      </c>
      <c r="C18" s="250">
        <v>5973842</v>
      </c>
      <c r="D18" s="150" t="s">
        <v>70</v>
      </c>
      <c r="F18" s="103" t="s">
        <v>146</v>
      </c>
      <c r="G18" s="97" t="s">
        <v>198</v>
      </c>
      <c r="H18" s="253">
        <v>0</v>
      </c>
      <c r="I18" s="150" t="s">
        <v>70</v>
      </c>
    </row>
    <row r="19" spans="1:9" ht="24" thickBot="1">
      <c r="A19" s="113">
        <f>INT(SUM(A11:A18)+SUM(B11:B18)/100)</f>
        <v>16879250</v>
      </c>
      <c r="B19" s="138">
        <f>MOD(SUM(B11:B18),100)</f>
        <v>0</v>
      </c>
      <c r="C19" s="113">
        <f>INT(SUM(C11:C18)+SUM(D11:D18)/100)</f>
        <v>14088309</v>
      </c>
      <c r="D19" s="114">
        <f>MOD(SUM(D11:D18),100)</f>
        <v>75</v>
      </c>
      <c r="G19" s="97"/>
      <c r="H19" s="113">
        <f>INT(SUM(H11:H18)+SUM(I11:I18)/100)</f>
        <v>1161966</v>
      </c>
      <c r="I19" s="114">
        <f>MOD(SUM(I11:I18),100)</f>
        <v>56</v>
      </c>
    </row>
    <row r="20" spans="1:9" ht="24" thickTop="1">
      <c r="A20" s="112"/>
      <c r="B20" s="103"/>
      <c r="C20" s="108">
        <v>9620201</v>
      </c>
      <c r="D20" s="106" t="s">
        <v>70</v>
      </c>
      <c r="F20" s="103" t="s">
        <v>203</v>
      </c>
      <c r="G20" s="97" t="s">
        <v>199</v>
      </c>
      <c r="H20" s="108">
        <v>3938272</v>
      </c>
      <c r="I20" s="106" t="s">
        <v>70</v>
      </c>
    </row>
    <row r="21" spans="1:9" ht="23.25">
      <c r="A21" s="112"/>
      <c r="B21" s="103"/>
      <c r="C21" s="254">
        <v>123459</v>
      </c>
      <c r="D21" s="109">
        <v>79</v>
      </c>
      <c r="F21" s="103" t="s">
        <v>290</v>
      </c>
      <c r="G21" s="97" t="s">
        <v>180</v>
      </c>
      <c r="H21" s="108">
        <v>28114</v>
      </c>
      <c r="I21" s="109">
        <v>81</v>
      </c>
    </row>
    <row r="22" spans="1:9" ht="23.25">
      <c r="A22" s="112"/>
      <c r="B22" s="103"/>
      <c r="C22" s="250">
        <v>1648170</v>
      </c>
      <c r="D22" s="106" t="s">
        <v>70</v>
      </c>
      <c r="F22" s="103" t="s">
        <v>42</v>
      </c>
      <c r="G22" s="97" t="s">
        <v>204</v>
      </c>
      <c r="H22" s="250">
        <v>157380</v>
      </c>
      <c r="I22" s="106" t="s">
        <v>70</v>
      </c>
    </row>
    <row r="23" spans="1:9" ht="23.25">
      <c r="A23" s="112"/>
      <c r="B23" s="103"/>
      <c r="C23" s="250">
        <v>3622847</v>
      </c>
      <c r="D23" s="106">
        <v>27</v>
      </c>
      <c r="F23" s="103" t="s">
        <v>143</v>
      </c>
      <c r="G23" s="97" t="s">
        <v>241</v>
      </c>
      <c r="H23" s="250">
        <v>375500</v>
      </c>
      <c r="I23" s="106" t="s">
        <v>70</v>
      </c>
    </row>
    <row r="24" spans="1:9" ht="23.25">
      <c r="A24" s="112"/>
      <c r="B24" s="103"/>
      <c r="C24" s="250">
        <v>0</v>
      </c>
      <c r="D24" s="106" t="s">
        <v>70</v>
      </c>
      <c r="F24" s="103" t="s">
        <v>123</v>
      </c>
      <c r="G24" s="97" t="s">
        <v>155</v>
      </c>
      <c r="H24" s="250">
        <v>0</v>
      </c>
      <c r="I24" s="106" t="s">
        <v>70</v>
      </c>
    </row>
    <row r="25" spans="1:9" ht="23.25">
      <c r="A25" s="112"/>
      <c r="B25" s="103"/>
      <c r="C25" s="250">
        <v>88081</v>
      </c>
      <c r="D25" s="106" t="s">
        <v>70</v>
      </c>
      <c r="F25" s="103" t="s">
        <v>46</v>
      </c>
      <c r="G25" s="97" t="s">
        <v>200</v>
      </c>
      <c r="H25" s="250">
        <v>0</v>
      </c>
      <c r="I25" s="106" t="s">
        <v>70</v>
      </c>
    </row>
    <row r="26" spans="1:9" ht="23.25">
      <c r="A26" s="112"/>
      <c r="B26" s="103"/>
      <c r="C26" s="250">
        <v>367</v>
      </c>
      <c r="D26" s="106">
        <v>74</v>
      </c>
      <c r="F26" s="103" t="s">
        <v>233</v>
      </c>
      <c r="G26" s="97" t="s">
        <v>235</v>
      </c>
      <c r="H26" s="250">
        <v>0</v>
      </c>
      <c r="I26" s="106" t="s">
        <v>70</v>
      </c>
    </row>
    <row r="27" spans="1:9" ht="23.25">
      <c r="A27" s="112"/>
      <c r="B27" s="103"/>
      <c r="C27" s="250">
        <v>0</v>
      </c>
      <c r="D27" s="106" t="s">
        <v>70</v>
      </c>
      <c r="F27" s="103" t="s">
        <v>144</v>
      </c>
      <c r="G27" s="97" t="s">
        <v>154</v>
      </c>
      <c r="H27" s="250">
        <v>0</v>
      </c>
      <c r="I27" s="106" t="s">
        <v>70</v>
      </c>
    </row>
    <row r="28" spans="1:9" ht="23.25">
      <c r="A28" s="112"/>
      <c r="B28" s="103"/>
      <c r="C28" s="250">
        <v>106390</v>
      </c>
      <c r="D28" s="109">
        <v>93</v>
      </c>
      <c r="F28" s="103" t="s">
        <v>43</v>
      </c>
      <c r="G28" s="97" t="s">
        <v>177</v>
      </c>
      <c r="H28" s="250"/>
      <c r="I28" s="106" t="s">
        <v>70</v>
      </c>
    </row>
    <row r="29" spans="1:9" ht="23.25">
      <c r="A29" s="112"/>
      <c r="B29" s="103"/>
      <c r="C29" s="250">
        <v>26177</v>
      </c>
      <c r="D29" s="109">
        <v>57</v>
      </c>
      <c r="F29" s="112" t="s">
        <v>122</v>
      </c>
      <c r="G29" s="97" t="s">
        <v>205</v>
      </c>
      <c r="H29" s="250">
        <v>9401</v>
      </c>
      <c r="I29" s="106">
        <v>87</v>
      </c>
    </row>
    <row r="30" spans="1:9" ht="24" thickBot="1">
      <c r="A30" s="112"/>
      <c r="B30" s="103"/>
      <c r="C30" s="113">
        <f>INT(SUM(C20:C29)+SUM(D20:D29)/100)</f>
        <v>15235695</v>
      </c>
      <c r="D30" s="114">
        <f>MOD(SUM(D20:D29),100)</f>
        <v>30</v>
      </c>
      <c r="G30" s="97"/>
      <c r="H30" s="113">
        <f>INT(SUM(H20:H29)+SUM(I20:I29)/100)</f>
        <v>4508668</v>
      </c>
      <c r="I30" s="114">
        <f>MOD(SUM(I20:I29),100)</f>
        <v>68</v>
      </c>
    </row>
    <row r="31" spans="1:9" ht="24.75" thickBot="1" thickTop="1">
      <c r="A31" s="112"/>
      <c r="B31" s="103"/>
      <c r="C31" s="113">
        <f>INT(SUM(C19,C30)+SUM(D19,D30)/100)</f>
        <v>29324005</v>
      </c>
      <c r="D31" s="114">
        <f>MOD(SUM(D19,D30),100)</f>
        <v>5</v>
      </c>
      <c r="E31" s="470" t="s">
        <v>44</v>
      </c>
      <c r="F31" s="469"/>
      <c r="G31" s="98"/>
      <c r="H31" s="113">
        <f>INT(SUM(H19,H30)+SUM(I19,I30)/100)</f>
        <v>5670635</v>
      </c>
      <c r="I31" s="114">
        <f>MOD(SUM(I19,I30),100)</f>
        <v>24</v>
      </c>
    </row>
    <row r="32" spans="1:9" ht="24" thickTop="1">
      <c r="A32" s="112"/>
      <c r="B32" s="112"/>
      <c r="C32" s="115"/>
      <c r="D32" s="143"/>
      <c r="E32" s="96"/>
      <c r="F32" s="96"/>
      <c r="G32" s="120"/>
      <c r="H32" s="115"/>
      <c r="I32" s="143"/>
    </row>
    <row r="33" spans="1:9" ht="23.25">
      <c r="A33" s="112"/>
      <c r="B33" s="112"/>
      <c r="C33" s="115"/>
      <c r="D33" s="143"/>
      <c r="E33" s="96"/>
      <c r="F33" s="96"/>
      <c r="G33" s="120"/>
      <c r="H33" s="115"/>
      <c r="I33" s="143"/>
    </row>
    <row r="34" spans="1:9" ht="23.25">
      <c r="A34" s="112"/>
      <c r="B34" s="112"/>
      <c r="C34" s="115"/>
      <c r="D34" s="143"/>
      <c r="E34" s="96"/>
      <c r="F34" s="96"/>
      <c r="G34" s="120"/>
      <c r="H34" s="115"/>
      <c r="I34" s="143"/>
    </row>
    <row r="35" spans="1:9" ht="23.25">
      <c r="A35" s="112"/>
      <c r="B35" s="112"/>
      <c r="C35" s="115"/>
      <c r="D35" s="143"/>
      <c r="E35" s="96"/>
      <c r="F35" s="96"/>
      <c r="G35" s="120"/>
      <c r="H35" s="115"/>
      <c r="I35" s="143"/>
    </row>
    <row r="36" spans="1:9" ht="23.25">
      <c r="A36" s="112"/>
      <c r="B36" s="112"/>
      <c r="C36" s="115"/>
      <c r="D36" s="143"/>
      <c r="E36" s="96"/>
      <c r="F36" s="96"/>
      <c r="G36" s="120"/>
      <c r="H36" s="115"/>
      <c r="I36" s="143"/>
    </row>
    <row r="37" spans="1:9" ht="23.25">
      <c r="A37" s="112"/>
      <c r="B37" s="112"/>
      <c r="C37" s="115"/>
      <c r="D37" s="143"/>
      <c r="E37" s="96"/>
      <c r="F37" s="96"/>
      <c r="G37" s="120"/>
      <c r="H37" s="115"/>
      <c r="I37" s="143"/>
    </row>
    <row r="38" spans="1:9" ht="23.25">
      <c r="A38" s="112"/>
      <c r="B38" s="112"/>
      <c r="C38" s="115"/>
      <c r="D38" s="143"/>
      <c r="E38" s="96"/>
      <c r="F38" s="96"/>
      <c r="G38" s="120"/>
      <c r="H38" s="115"/>
      <c r="I38" s="143"/>
    </row>
    <row r="39" spans="1:9" ht="23.25">
      <c r="A39" s="112"/>
      <c r="B39" s="112"/>
      <c r="C39" s="115"/>
      <c r="D39" s="130"/>
      <c r="E39" s="96"/>
      <c r="F39" s="96"/>
      <c r="G39" s="120"/>
      <c r="H39" s="115"/>
      <c r="I39" s="130"/>
    </row>
    <row r="40" spans="1:15" ht="23.25">
      <c r="A40" s="211" t="s">
        <v>301</v>
      </c>
      <c r="B40" s="112"/>
      <c r="C40" s="112"/>
      <c r="D40" s="115"/>
      <c r="E40" s="96"/>
      <c r="F40" s="96"/>
      <c r="G40" s="120"/>
      <c r="H40" s="115"/>
      <c r="I40" s="130"/>
      <c r="K40" s="211"/>
      <c r="L40" s="112"/>
      <c r="M40" s="112"/>
      <c r="N40" s="115"/>
      <c r="O40" s="130"/>
    </row>
    <row r="41" spans="1:15" ht="23.25">
      <c r="A41" s="211" t="s">
        <v>149</v>
      </c>
      <c r="B41" s="112"/>
      <c r="C41" s="471">
        <f>8114467.75-M61</f>
        <v>2237546.129999999</v>
      </c>
      <c r="D41" s="471"/>
      <c r="E41" s="321"/>
      <c r="F41" s="96"/>
      <c r="G41" s="120"/>
      <c r="H41" s="115"/>
      <c r="I41" s="130"/>
      <c r="K41" s="211"/>
      <c r="L41" s="112"/>
      <c r="M41" s="112"/>
      <c r="N41" s="212"/>
      <c r="O41" s="213"/>
    </row>
    <row r="42" spans="1:15" ht="23.25">
      <c r="A42" s="211" t="s">
        <v>40</v>
      </c>
      <c r="B42" s="112"/>
      <c r="C42" s="471">
        <f>5973842-P61</f>
        <v>1920227.2599999998</v>
      </c>
      <c r="D42" s="471"/>
      <c r="E42" s="96"/>
      <c r="F42" s="96"/>
      <c r="G42" s="120"/>
      <c r="H42" s="115"/>
      <c r="I42" s="130"/>
      <c r="K42" s="211"/>
      <c r="L42" s="112"/>
      <c r="M42" s="112"/>
      <c r="N42" s="212"/>
      <c r="O42" s="213"/>
    </row>
    <row r="43" spans="1:9" ht="23.25">
      <c r="A43" s="214"/>
      <c r="B43" s="214"/>
      <c r="C43" s="214"/>
      <c r="D43" s="214"/>
      <c r="E43" s="96"/>
      <c r="F43" s="96"/>
      <c r="G43" s="120"/>
      <c r="H43" s="115"/>
      <c r="I43" s="130"/>
    </row>
    <row r="44" spans="1:9" ht="23.25">
      <c r="A44" s="162"/>
      <c r="B44" s="112"/>
      <c r="C44" s="163"/>
      <c r="D44" s="164"/>
      <c r="E44" s="96"/>
      <c r="F44" s="96"/>
      <c r="G44" s="120"/>
      <c r="H44" s="115"/>
      <c r="I44" s="130"/>
    </row>
    <row r="45" spans="1:9" ht="23.25">
      <c r="A45" s="451" t="s">
        <v>75</v>
      </c>
      <c r="B45" s="451"/>
      <c r="C45" s="451"/>
      <c r="D45" s="451"/>
      <c r="E45" s="451"/>
      <c r="F45" s="451"/>
      <c r="G45" s="451"/>
      <c r="H45" s="451"/>
      <c r="I45" s="451"/>
    </row>
    <row r="46" spans="1:9" ht="23.25">
      <c r="A46" s="447" t="s">
        <v>24</v>
      </c>
      <c r="B46" s="448"/>
      <c r="C46" s="448"/>
      <c r="D46" s="449"/>
      <c r="E46" s="466"/>
      <c r="F46" s="450"/>
      <c r="G46" s="95"/>
      <c r="H46" s="447" t="s">
        <v>25</v>
      </c>
      <c r="I46" s="449"/>
    </row>
    <row r="47" spans="1:9" ht="23.25">
      <c r="A47" s="466" t="s">
        <v>26</v>
      </c>
      <c r="B47" s="467"/>
      <c r="C47" s="466" t="s">
        <v>27</v>
      </c>
      <c r="D47" s="467"/>
      <c r="E47" s="470" t="s">
        <v>28</v>
      </c>
      <c r="F47" s="468"/>
      <c r="G47" s="97" t="s">
        <v>29</v>
      </c>
      <c r="H47" s="470" t="s">
        <v>27</v>
      </c>
      <c r="I47" s="469"/>
    </row>
    <row r="48" spans="1:16" ht="21" customHeight="1">
      <c r="A48" s="452" t="s">
        <v>30</v>
      </c>
      <c r="B48" s="453"/>
      <c r="C48" s="452" t="s">
        <v>30</v>
      </c>
      <c r="D48" s="453"/>
      <c r="E48" s="452"/>
      <c r="F48" s="454"/>
      <c r="G48" s="98" t="s">
        <v>31</v>
      </c>
      <c r="H48" s="452" t="s">
        <v>30</v>
      </c>
      <c r="I48" s="453"/>
      <c r="L48" s="249" t="s">
        <v>25</v>
      </c>
      <c r="M48" s="249" t="s">
        <v>278</v>
      </c>
      <c r="O48" s="249" t="s">
        <v>25</v>
      </c>
      <c r="P48" s="249" t="s">
        <v>278</v>
      </c>
    </row>
    <row r="49" spans="1:16" ht="23.25">
      <c r="A49" s="99"/>
      <c r="B49" s="100"/>
      <c r="C49" s="101"/>
      <c r="D49" s="100"/>
      <c r="E49" s="102" t="s">
        <v>45</v>
      </c>
      <c r="F49" s="103"/>
      <c r="G49" s="97"/>
      <c r="H49" s="148"/>
      <c r="I49" s="104"/>
      <c r="K49" s="249" t="s">
        <v>26</v>
      </c>
      <c r="L49" s="249" t="s">
        <v>149</v>
      </c>
      <c r="M49" s="249" t="s">
        <v>149</v>
      </c>
      <c r="N49" s="249" t="s">
        <v>26</v>
      </c>
      <c r="O49" s="249" t="s">
        <v>40</v>
      </c>
      <c r="P49" s="249" t="s">
        <v>40</v>
      </c>
    </row>
    <row r="50" spans="1:16" ht="22.5" customHeight="1">
      <c r="A50" s="105">
        <f aca="true" t="shared" si="0" ref="A50:A60">K50+N50</f>
        <v>2566958</v>
      </c>
      <c r="B50" s="106" t="s">
        <v>70</v>
      </c>
      <c r="C50" s="250">
        <v>1832633</v>
      </c>
      <c r="D50" s="106">
        <v>38</v>
      </c>
      <c r="E50" s="102"/>
      <c r="F50" s="103" t="s">
        <v>46</v>
      </c>
      <c r="G50" s="97" t="s">
        <v>200</v>
      </c>
      <c r="H50" s="108">
        <v>214149</v>
      </c>
      <c r="I50" s="106">
        <v>96</v>
      </c>
      <c r="K50" s="214">
        <f>885678-80000</f>
        <v>805678</v>
      </c>
      <c r="L50" s="214">
        <v>87845.96</v>
      </c>
      <c r="M50" s="214">
        <f>88081+91588.79+14664+8874+8874+8874+102065+98593.63+87845.96</f>
        <v>509460.38</v>
      </c>
      <c r="N50" s="214">
        <v>1761280</v>
      </c>
      <c r="O50" s="214">
        <v>126304</v>
      </c>
      <c r="P50" s="214">
        <f>60000+503349+129304+128304+126804+124304+124804+126304</f>
        <v>1323173</v>
      </c>
    </row>
    <row r="51" spans="1:16" ht="22.5" customHeight="1">
      <c r="A51" s="105">
        <f t="shared" si="0"/>
        <v>1365960</v>
      </c>
      <c r="B51" s="106" t="s">
        <v>70</v>
      </c>
      <c r="C51" s="250">
        <v>1084090</v>
      </c>
      <c r="D51" s="109">
        <v>32</v>
      </c>
      <c r="E51" s="101"/>
      <c r="F51" s="103" t="s">
        <v>233</v>
      </c>
      <c r="G51" s="97" t="s">
        <v>235</v>
      </c>
      <c r="H51" s="108">
        <v>103240</v>
      </c>
      <c r="I51" s="106">
        <v>32</v>
      </c>
      <c r="K51" s="214">
        <f>1415400-4440-15000-30000</f>
        <v>1365960</v>
      </c>
      <c r="L51" s="214">
        <v>103240.32</v>
      </c>
      <c r="M51" s="214">
        <f>112250+112250+112250+107350+107350+107350+107350+107350+107350+103240.32</f>
        <v>1084090.32</v>
      </c>
      <c r="N51" s="214">
        <v>0</v>
      </c>
      <c r="O51" s="214">
        <v>0</v>
      </c>
      <c r="P51" s="214">
        <v>0</v>
      </c>
    </row>
    <row r="52" spans="1:16" ht="22.5" customHeight="1">
      <c r="A52" s="105">
        <f t="shared" si="0"/>
        <v>3434320</v>
      </c>
      <c r="B52" s="106" t="s">
        <v>70</v>
      </c>
      <c r="C52" s="250">
        <v>2523372</v>
      </c>
      <c r="D52" s="106">
        <v>45</v>
      </c>
      <c r="E52" s="101"/>
      <c r="F52" s="103" t="s">
        <v>234</v>
      </c>
      <c r="G52" s="97" t="s">
        <v>236</v>
      </c>
      <c r="H52" s="108">
        <v>252310</v>
      </c>
      <c r="I52" s="106" t="s">
        <v>70</v>
      </c>
      <c r="K52" s="214">
        <f>3290940+3600+240+5280-1080-6000-30000-29000+3540</f>
        <v>3237520</v>
      </c>
      <c r="L52" s="214">
        <v>235910</v>
      </c>
      <c r="M52" s="214">
        <f>223600+212986+240260+238940+239380+239820+242740+242740+242996.45+235910</f>
        <v>2359372.45</v>
      </c>
      <c r="N52" s="214">
        <v>196800</v>
      </c>
      <c r="O52" s="214">
        <v>16400</v>
      </c>
      <c r="P52" s="214">
        <f>16400+16400+16400+16400+16400+16400+16400+16400+16400+16400</f>
        <v>164000</v>
      </c>
    </row>
    <row r="53" spans="1:16" ht="22.5" customHeight="1">
      <c r="A53" s="105">
        <f t="shared" si="0"/>
        <v>1112320</v>
      </c>
      <c r="B53" s="106" t="s">
        <v>70</v>
      </c>
      <c r="C53" s="250">
        <v>395207</v>
      </c>
      <c r="D53" s="109" t="s">
        <v>70</v>
      </c>
      <c r="E53" s="101"/>
      <c r="F53" s="103" t="s">
        <v>47</v>
      </c>
      <c r="G53" s="97" t="s">
        <v>172</v>
      </c>
      <c r="H53" s="108">
        <v>29698</v>
      </c>
      <c r="I53" s="106" t="s">
        <v>70</v>
      </c>
      <c r="K53" s="214">
        <f>1056860-3600-16800+6000-17500-20000-3600-13000</f>
        <v>988360</v>
      </c>
      <c r="L53" s="214">
        <v>29698</v>
      </c>
      <c r="M53" s="214">
        <f>2175+53517+81262+5750+31820+12840+18621+24481+11681+25498</f>
        <v>267645</v>
      </c>
      <c r="N53" s="214">
        <v>123960</v>
      </c>
      <c r="O53" s="214">
        <v>0</v>
      </c>
      <c r="P53" s="214">
        <f>30791+29585+1307+28624+33055</f>
        <v>123362</v>
      </c>
    </row>
    <row r="54" spans="1:16" ht="22.5" customHeight="1">
      <c r="A54" s="105">
        <f t="shared" si="0"/>
        <v>1845150</v>
      </c>
      <c r="B54" s="106" t="s">
        <v>70</v>
      </c>
      <c r="C54" s="250">
        <v>980277</v>
      </c>
      <c r="D54" s="109">
        <v>24</v>
      </c>
      <c r="E54" s="101"/>
      <c r="F54" s="103" t="s">
        <v>48</v>
      </c>
      <c r="G54" s="97" t="s">
        <v>173</v>
      </c>
      <c r="H54" s="108">
        <v>86635</v>
      </c>
      <c r="I54" s="106" t="s">
        <v>70</v>
      </c>
      <c r="K54" s="214">
        <f>967190+8400+8400+30000+5000-5000+15500-15500+17500+28600+30000-15000-3540+13000</f>
        <v>1084550</v>
      </c>
      <c r="L54" s="214">
        <v>86635</v>
      </c>
      <c r="M54" s="214">
        <f>12560+34333+82816+83030+86036+194753+47126+36310+62644+90835</f>
        <v>730443</v>
      </c>
      <c r="N54" s="214">
        <f>865420-420-47000+2600-50000-50000+13960-13960+40000</f>
        <v>760600</v>
      </c>
      <c r="O54" s="214">
        <v>0</v>
      </c>
      <c r="P54" s="214">
        <f>1000+19300+10736+52822.24+165176+5000</f>
        <v>254034.24</v>
      </c>
    </row>
    <row r="55" spans="1:16" ht="22.5" customHeight="1">
      <c r="A55" s="105">
        <f t="shared" si="0"/>
        <v>1778272</v>
      </c>
      <c r="B55" s="106" t="s">
        <v>70</v>
      </c>
      <c r="C55" s="250">
        <v>994610</v>
      </c>
      <c r="D55" s="109">
        <v>20</v>
      </c>
      <c r="E55" s="101"/>
      <c r="F55" s="103" t="s">
        <v>49</v>
      </c>
      <c r="G55" s="97" t="s">
        <v>174</v>
      </c>
      <c r="H55" s="108">
        <v>122749</v>
      </c>
      <c r="I55" s="106" t="s">
        <v>70</v>
      </c>
      <c r="K55" s="214">
        <f>711232-50000+3600+5000+29000+15000-6000+35000+45000+10000</f>
        <v>797832</v>
      </c>
      <c r="L55" s="214">
        <v>120876</v>
      </c>
      <c r="M55" s="214">
        <f>41210+18019+52305+52729+60635+80189.7+79048+23563+62530+9660+120876</f>
        <v>600764.7</v>
      </c>
      <c r="N55" s="214">
        <f>1113240-117600-25200+10000</f>
        <v>980440</v>
      </c>
      <c r="O55" s="214">
        <v>1873</v>
      </c>
      <c r="P55" s="214">
        <f>13800+5250+11620+6960+11080+352922.5-9660+1873</f>
        <v>393845.5</v>
      </c>
    </row>
    <row r="56" spans="1:16" ht="22.5" customHeight="1">
      <c r="A56" s="105">
        <f t="shared" si="0"/>
        <v>322200</v>
      </c>
      <c r="B56" s="106" t="s">
        <v>70</v>
      </c>
      <c r="C56" s="250">
        <v>229945</v>
      </c>
      <c r="D56" s="109">
        <v>77</v>
      </c>
      <c r="E56" s="101"/>
      <c r="F56" s="103" t="s">
        <v>67</v>
      </c>
      <c r="G56" s="97" t="s">
        <v>175</v>
      </c>
      <c r="H56" s="108">
        <v>27120</v>
      </c>
      <c r="I56" s="109">
        <v>13</v>
      </c>
      <c r="K56" s="214">
        <f>350800-33600+5000</f>
        <v>322200</v>
      </c>
      <c r="L56" s="214">
        <v>27120.13</v>
      </c>
      <c r="M56" s="214">
        <f>20698.02+18925.95+21949.54+15850.29+21302.42+22398.35+22615.4+32426.32+26659.35+27120.13</f>
        <v>229945.77000000002</v>
      </c>
      <c r="N56" s="214">
        <v>0</v>
      </c>
      <c r="O56" s="214">
        <v>0</v>
      </c>
      <c r="P56" s="214">
        <v>0</v>
      </c>
    </row>
    <row r="57" spans="1:16" ht="22.5" customHeight="1">
      <c r="A57" s="105">
        <f t="shared" si="0"/>
        <v>516750</v>
      </c>
      <c r="B57" s="106" t="s">
        <v>70</v>
      </c>
      <c r="C57" s="250">
        <v>58400</v>
      </c>
      <c r="D57" s="106" t="s">
        <v>70</v>
      </c>
      <c r="E57" s="101"/>
      <c r="F57" s="103" t="s">
        <v>50</v>
      </c>
      <c r="G57" s="110">
        <v>541000</v>
      </c>
      <c r="H57" s="250">
        <v>0</v>
      </c>
      <c r="I57" s="106" t="s">
        <v>70</v>
      </c>
      <c r="K57" s="214">
        <v>143200</v>
      </c>
      <c r="L57" s="214">
        <v>0</v>
      </c>
      <c r="M57" s="214">
        <v>19200</v>
      </c>
      <c r="N57" s="214">
        <v>373550</v>
      </c>
      <c r="O57" s="214">
        <v>0</v>
      </c>
      <c r="P57" s="214">
        <f>6000+2500+23200+7500</f>
        <v>39200</v>
      </c>
    </row>
    <row r="58" spans="1:16" ht="22.5" customHeight="1">
      <c r="A58" s="105">
        <f t="shared" si="0"/>
        <v>2179300</v>
      </c>
      <c r="B58" s="106" t="s">
        <v>70</v>
      </c>
      <c r="C58" s="250">
        <v>509000</v>
      </c>
      <c r="D58" s="106" t="s">
        <v>70</v>
      </c>
      <c r="E58" s="101"/>
      <c r="F58" s="103" t="s">
        <v>51</v>
      </c>
      <c r="G58" s="97" t="s">
        <v>176</v>
      </c>
      <c r="H58" s="250">
        <v>0</v>
      </c>
      <c r="I58" s="106" t="s">
        <v>70</v>
      </c>
      <c r="K58" s="214">
        <v>0</v>
      </c>
      <c r="L58" s="214">
        <v>0</v>
      </c>
      <c r="M58" s="214">
        <v>0</v>
      </c>
      <c r="N58" s="214">
        <v>2179300</v>
      </c>
      <c r="O58" s="214">
        <v>0</v>
      </c>
      <c r="P58" s="214">
        <v>509000</v>
      </c>
    </row>
    <row r="59" spans="1:16" ht="22.5" customHeight="1">
      <c r="A59" s="105">
        <f t="shared" si="0"/>
        <v>903000</v>
      </c>
      <c r="B59" s="106" t="s">
        <v>70</v>
      </c>
      <c r="C59" s="250">
        <v>753000</v>
      </c>
      <c r="D59" s="109" t="s">
        <v>70</v>
      </c>
      <c r="E59" s="101"/>
      <c r="F59" s="103" t="s">
        <v>40</v>
      </c>
      <c r="G59" s="97" t="s">
        <v>201</v>
      </c>
      <c r="H59" s="250">
        <v>0</v>
      </c>
      <c r="I59" s="109" t="s">
        <v>70</v>
      </c>
      <c r="K59" s="214">
        <v>20000</v>
      </c>
      <c r="L59" s="214">
        <v>0</v>
      </c>
      <c r="M59" s="214">
        <v>20000</v>
      </c>
      <c r="N59" s="214">
        <f>1195400-372400+100000-40000</f>
        <v>883000</v>
      </c>
      <c r="O59" s="214">
        <v>0</v>
      </c>
      <c r="P59" s="214">
        <f>314000+105000+314000</f>
        <v>733000</v>
      </c>
    </row>
    <row r="60" spans="1:16" ht="22.5" customHeight="1">
      <c r="A60" s="105">
        <f t="shared" si="0"/>
        <v>855020</v>
      </c>
      <c r="B60" s="111" t="s">
        <v>70</v>
      </c>
      <c r="C60" s="250">
        <v>570000</v>
      </c>
      <c r="D60" s="106" t="s">
        <v>70</v>
      </c>
      <c r="E60" s="101"/>
      <c r="F60" s="112" t="s">
        <v>69</v>
      </c>
      <c r="G60" s="97" t="s">
        <v>202</v>
      </c>
      <c r="H60" s="250">
        <v>7360</v>
      </c>
      <c r="I60" s="106" t="s">
        <v>70</v>
      </c>
      <c r="K60" s="214">
        <f>50000+6000</f>
        <v>56000</v>
      </c>
      <c r="L60" s="214">
        <v>6000</v>
      </c>
      <c r="M60" s="214">
        <f>50000+6000</f>
        <v>56000</v>
      </c>
      <c r="N60" s="214">
        <f>249000+147000+372400+117600+25200+420-20000-80000-10000-2600</f>
        <v>799020</v>
      </c>
      <c r="O60" s="214">
        <v>1360</v>
      </c>
      <c r="P60" s="214">
        <f>318500+19995+3750+25620+6000+138775+1360</f>
        <v>514000</v>
      </c>
    </row>
    <row r="61" spans="1:16" ht="22.5" customHeight="1" thickBot="1">
      <c r="A61" s="113">
        <f>INT(SUM(A50:A60)+SUM(B50:B60)/100)</f>
        <v>16879250</v>
      </c>
      <c r="B61" s="152">
        <f>MOD(SUM(B50:B60),100)</f>
        <v>0</v>
      </c>
      <c r="C61" s="113">
        <f>INT(SUM(C50:C60)+SUM(D50:D60)/100)</f>
        <v>9930536</v>
      </c>
      <c r="D61" s="114">
        <f>MOD(SUM(D50:D60),100)</f>
        <v>36</v>
      </c>
      <c r="E61" s="101"/>
      <c r="G61" s="97"/>
      <c r="H61" s="113">
        <f>INT(SUM(H50:H60)+SUM(I50:I60)/100)</f>
        <v>843262</v>
      </c>
      <c r="I61" s="114">
        <f>MOD(SUM(I48:I60),100)</f>
        <v>41</v>
      </c>
      <c r="K61" s="214">
        <f aca="true" t="shared" si="1" ref="K61:P61">SUM(K50:K60)</f>
        <v>8821300</v>
      </c>
      <c r="L61" s="214">
        <f t="shared" si="1"/>
        <v>697325.41</v>
      </c>
      <c r="M61" s="214">
        <f t="shared" si="1"/>
        <v>5876921.620000001</v>
      </c>
      <c r="N61" s="214">
        <f t="shared" si="1"/>
        <v>8057950</v>
      </c>
      <c r="O61" s="214">
        <f t="shared" si="1"/>
        <v>145937</v>
      </c>
      <c r="P61" s="318">
        <f t="shared" si="1"/>
        <v>4053614.74</v>
      </c>
    </row>
    <row r="62" spans="1:9" ht="22.5" customHeight="1" thickTop="1">
      <c r="A62" s="115"/>
      <c r="B62" s="116"/>
      <c r="C62" s="117">
        <v>8720656</v>
      </c>
      <c r="D62" s="116" t="s">
        <v>70</v>
      </c>
      <c r="E62" s="112"/>
      <c r="F62" s="103" t="s">
        <v>203</v>
      </c>
      <c r="G62" s="97" t="s">
        <v>199</v>
      </c>
      <c r="H62" s="250">
        <f>377432+58640+750+2734000</f>
        <v>3170822</v>
      </c>
      <c r="I62" s="118" t="s">
        <v>70</v>
      </c>
    </row>
    <row r="63" spans="1:9" ht="22.5" customHeight="1">
      <c r="A63" s="112"/>
      <c r="B63" s="112"/>
      <c r="C63" s="117">
        <v>603540</v>
      </c>
      <c r="D63" s="106" t="s">
        <v>70</v>
      </c>
      <c r="E63" s="101"/>
      <c r="F63" s="103" t="s">
        <v>112</v>
      </c>
      <c r="G63" s="97" t="s">
        <v>206</v>
      </c>
      <c r="H63" s="250" t="s">
        <v>70</v>
      </c>
      <c r="I63" s="106" t="s">
        <v>70</v>
      </c>
    </row>
    <row r="64" spans="1:11" ht="22.5" customHeight="1">
      <c r="A64" s="112"/>
      <c r="B64" s="112"/>
      <c r="C64" s="117">
        <v>24440</v>
      </c>
      <c r="D64" s="109">
        <v>9</v>
      </c>
      <c r="E64" s="101"/>
      <c r="F64" s="103" t="s">
        <v>43</v>
      </c>
      <c r="G64" s="97" t="s">
        <v>177</v>
      </c>
      <c r="H64" s="250"/>
      <c r="I64" s="109"/>
      <c r="K64" s="214">
        <v>9930676.36</v>
      </c>
    </row>
    <row r="65" spans="1:9" ht="22.5" customHeight="1">
      <c r="A65" s="112"/>
      <c r="B65" s="112"/>
      <c r="C65" s="117">
        <v>112177</v>
      </c>
      <c r="D65" s="109">
        <v>87</v>
      </c>
      <c r="E65" s="101"/>
      <c r="F65" s="103" t="s">
        <v>145</v>
      </c>
      <c r="G65" s="97" t="s">
        <v>180</v>
      </c>
      <c r="H65" s="108">
        <v>1727</v>
      </c>
      <c r="I65" s="109">
        <v>24</v>
      </c>
    </row>
    <row r="66" spans="1:9" ht="22.5" customHeight="1">
      <c r="A66" s="112"/>
      <c r="B66" s="112"/>
      <c r="C66" s="117">
        <v>95407</v>
      </c>
      <c r="D66" s="109">
        <v>50</v>
      </c>
      <c r="E66" s="101"/>
      <c r="F66" s="103" t="s">
        <v>285</v>
      </c>
      <c r="G66" s="97" t="s">
        <v>154</v>
      </c>
      <c r="H66" s="250"/>
      <c r="I66" s="109" t="s">
        <v>70</v>
      </c>
    </row>
    <row r="67" spans="1:9" ht="22.5" customHeight="1">
      <c r="A67" s="112"/>
      <c r="B67" s="112"/>
      <c r="C67" s="117">
        <v>762089</v>
      </c>
      <c r="D67" s="106">
        <v>68</v>
      </c>
      <c r="E67" s="101"/>
      <c r="F67" s="103" t="s">
        <v>286</v>
      </c>
      <c r="G67" s="97" t="s">
        <v>155</v>
      </c>
      <c r="H67" s="250"/>
      <c r="I67" s="106" t="s">
        <v>70</v>
      </c>
    </row>
    <row r="68" spans="1:9" ht="22.5" customHeight="1">
      <c r="A68" s="112"/>
      <c r="B68" s="112"/>
      <c r="C68" s="117">
        <v>26177</v>
      </c>
      <c r="D68" s="106">
        <v>57</v>
      </c>
      <c r="E68" s="101"/>
      <c r="F68" s="112" t="s">
        <v>122</v>
      </c>
      <c r="G68" s="97" t="s">
        <v>205</v>
      </c>
      <c r="H68" s="250">
        <v>9401</v>
      </c>
      <c r="I68" s="106">
        <v>87</v>
      </c>
    </row>
    <row r="69" spans="1:9" ht="22.5" customHeight="1">
      <c r="A69" s="112"/>
      <c r="B69" s="112"/>
      <c r="C69" s="255">
        <v>1669216</v>
      </c>
      <c r="D69" s="106" t="s">
        <v>70</v>
      </c>
      <c r="E69" s="101"/>
      <c r="F69" s="112" t="s">
        <v>52</v>
      </c>
      <c r="G69" s="97" t="s">
        <v>204</v>
      </c>
      <c r="H69" s="250">
        <v>133846</v>
      </c>
      <c r="I69" s="106" t="s">
        <v>70</v>
      </c>
    </row>
    <row r="70" spans="1:9" ht="22.5" customHeight="1">
      <c r="A70" s="112"/>
      <c r="B70" s="112"/>
      <c r="C70" s="255">
        <v>3622847</v>
      </c>
      <c r="D70" s="109">
        <v>27</v>
      </c>
      <c r="E70" s="112"/>
      <c r="F70" s="112" t="s">
        <v>140</v>
      </c>
      <c r="G70" s="98" t="s">
        <v>241</v>
      </c>
      <c r="H70" s="250">
        <v>375500</v>
      </c>
      <c r="I70" s="106" t="s">
        <v>70</v>
      </c>
    </row>
    <row r="71" spans="1:9" ht="22.5" customHeight="1" thickBot="1">
      <c r="A71" s="112"/>
      <c r="B71" s="103"/>
      <c r="C71" s="113">
        <f>INT(SUM(C62:C70)+SUM(D62:D70)/100)</f>
        <v>15636551</v>
      </c>
      <c r="D71" s="114">
        <f>MOD(SUM(D62:D70),100)</f>
        <v>98</v>
      </c>
      <c r="H71" s="113">
        <f>INT(SUM(H62:H70)+SUM(I62:I70)/100)</f>
        <v>3691297</v>
      </c>
      <c r="I71" s="114">
        <f>MOD(SUM(I62:I70),100)</f>
        <v>11</v>
      </c>
    </row>
    <row r="72" spans="1:9" ht="22.5" customHeight="1" thickBot="1" thickTop="1">
      <c r="A72" s="112"/>
      <c r="B72" s="103"/>
      <c r="C72" s="113">
        <f>INT(SUM(C61,C71)+SUM(D61,D71)/100)</f>
        <v>25567088</v>
      </c>
      <c r="D72" s="114">
        <f>MOD(SUM(D61,D71),100)</f>
        <v>34</v>
      </c>
      <c r="E72" s="470" t="s">
        <v>53</v>
      </c>
      <c r="F72" s="468"/>
      <c r="G72" s="469"/>
      <c r="H72" s="113">
        <f>INT(SUM(H61,H71)+SUM(I61,I71)/100)</f>
        <v>4534559</v>
      </c>
      <c r="I72" s="114">
        <f>MOD(SUM(I61,I71),100)</f>
        <v>52</v>
      </c>
    </row>
    <row r="73" spans="1:9" ht="22.5" customHeight="1" thickTop="1">
      <c r="A73" s="112"/>
      <c r="B73" s="103"/>
      <c r="C73" s="122">
        <v>3756916</v>
      </c>
      <c r="D73" s="123">
        <v>71</v>
      </c>
      <c r="E73" s="470" t="s">
        <v>54</v>
      </c>
      <c r="F73" s="468"/>
      <c r="G73" s="469"/>
      <c r="H73" s="107">
        <v>1136075</v>
      </c>
      <c r="I73" s="123">
        <v>72</v>
      </c>
    </row>
    <row r="74" spans="1:9" ht="23.25">
      <c r="A74" s="112"/>
      <c r="B74" s="103"/>
      <c r="C74" s="124"/>
      <c r="D74" s="106"/>
      <c r="E74" s="470" t="s">
        <v>55</v>
      </c>
      <c r="F74" s="468"/>
      <c r="G74" s="469"/>
      <c r="H74" s="124"/>
      <c r="I74" s="125"/>
    </row>
    <row r="75" spans="3:9" ht="23.25">
      <c r="C75" s="126"/>
      <c r="D75" s="150"/>
      <c r="E75" s="470" t="s">
        <v>56</v>
      </c>
      <c r="F75" s="468"/>
      <c r="G75" s="469"/>
      <c r="H75" s="127"/>
      <c r="I75" s="109"/>
    </row>
    <row r="76" spans="2:9" ht="22.5" customHeight="1">
      <c r="B76" s="77"/>
      <c r="C76" s="128">
        <v>8594379</v>
      </c>
      <c r="D76" s="129">
        <v>90</v>
      </c>
      <c r="E76" s="470" t="s">
        <v>57</v>
      </c>
      <c r="F76" s="468"/>
      <c r="G76" s="469"/>
      <c r="H76" s="128">
        <v>8594379</v>
      </c>
      <c r="I76" s="129">
        <v>90</v>
      </c>
    </row>
    <row r="77" spans="2:9" ht="22.5" customHeight="1">
      <c r="B77" s="77"/>
      <c r="C77" s="115"/>
      <c r="D77" s="143"/>
      <c r="E77" s="96"/>
      <c r="F77" s="96"/>
      <c r="G77" s="96"/>
      <c r="H77" s="115"/>
      <c r="I77" s="143"/>
    </row>
    <row r="78" spans="2:9" ht="22.5" customHeight="1">
      <c r="B78" s="77"/>
      <c r="C78" s="115"/>
      <c r="D78" s="143"/>
      <c r="E78" s="96"/>
      <c r="F78" s="96"/>
      <c r="G78" s="96"/>
      <c r="H78" s="115"/>
      <c r="I78" s="143"/>
    </row>
    <row r="79" spans="2:9" ht="20.25" customHeight="1">
      <c r="B79" s="77"/>
      <c r="C79" s="115"/>
      <c r="D79" s="143"/>
      <c r="E79" s="96"/>
      <c r="F79" s="96"/>
      <c r="G79" s="96"/>
      <c r="H79" s="115"/>
      <c r="I79" s="143"/>
    </row>
    <row r="80" spans="1:9" ht="23.25">
      <c r="A80" s="151" t="s">
        <v>124</v>
      </c>
      <c r="B80" s="151"/>
      <c r="C80" s="151"/>
      <c r="D80" s="151" t="s">
        <v>130</v>
      </c>
      <c r="E80" s="151"/>
      <c r="G80" s="151"/>
      <c r="H80" s="151"/>
      <c r="I80" s="151"/>
    </row>
    <row r="81" spans="1:9" ht="23.25">
      <c r="A81" s="151" t="s">
        <v>132</v>
      </c>
      <c r="B81" s="151"/>
      <c r="C81" s="151"/>
      <c r="D81" s="151" t="s">
        <v>131</v>
      </c>
      <c r="E81" s="151"/>
      <c r="G81" s="151"/>
      <c r="H81" s="151"/>
      <c r="I81" s="151"/>
    </row>
    <row r="82" spans="1:9" ht="23.25">
      <c r="A82" s="151" t="s">
        <v>133</v>
      </c>
      <c r="B82" s="151"/>
      <c r="C82" s="151"/>
      <c r="D82" s="151" t="s">
        <v>134</v>
      </c>
      <c r="E82" s="151"/>
      <c r="G82" s="151"/>
      <c r="H82" s="151"/>
      <c r="I82" s="151"/>
    </row>
    <row r="83" spans="6:7" ht="23.25">
      <c r="F83" s="458"/>
      <c r="G83" s="458"/>
    </row>
  </sheetData>
  <mergeCells count="36">
    <mergeCell ref="C41:D41"/>
    <mergeCell ref="C42:D42"/>
    <mergeCell ref="F5:H5"/>
    <mergeCell ref="E76:G76"/>
    <mergeCell ref="E72:G72"/>
    <mergeCell ref="E73:G73"/>
    <mergeCell ref="E74:G74"/>
    <mergeCell ref="E75:G75"/>
    <mergeCell ref="E31:F31"/>
    <mergeCell ref="H7:I7"/>
    <mergeCell ref="A48:B48"/>
    <mergeCell ref="C48:D48"/>
    <mergeCell ref="E48:F48"/>
    <mergeCell ref="H48:I48"/>
    <mergeCell ref="A47:B47"/>
    <mergeCell ref="C47:D47"/>
    <mergeCell ref="E47:F47"/>
    <mergeCell ref="H47:I47"/>
    <mergeCell ref="A46:D46"/>
    <mergeCell ref="E46:F46"/>
    <mergeCell ref="H46:I46"/>
    <mergeCell ref="A45:I45"/>
    <mergeCell ref="A8:B8"/>
    <mergeCell ref="C8:D8"/>
    <mergeCell ref="E8:F8"/>
    <mergeCell ref="H8:I8"/>
    <mergeCell ref="F83:G83"/>
    <mergeCell ref="A1:I1"/>
    <mergeCell ref="A2:I2"/>
    <mergeCell ref="A4:I4"/>
    <mergeCell ref="A6:D6"/>
    <mergeCell ref="E6:F6"/>
    <mergeCell ref="H6:I6"/>
    <mergeCell ref="A7:B7"/>
    <mergeCell ref="C7:D7"/>
    <mergeCell ref="E7:F7"/>
  </mergeCells>
  <printOptions/>
  <pageMargins left="0.826771653543307" right="0.236220472440945" top="0" bottom="0" header="0.236220472440945" footer="0.23622047244094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Normal="85" zoomScaleSheetLayoutView="100" workbookViewId="0" topLeftCell="E49">
      <selection activeCell="N62" sqref="N62"/>
    </sheetView>
  </sheetViews>
  <sheetFormatPr defaultColWidth="9.140625" defaultRowHeight="21.75"/>
  <cols>
    <col min="1" max="1" width="19.00390625" style="0" customWidth="1"/>
    <col min="2" max="2" width="6.140625" style="0" bestFit="1" customWidth="1"/>
    <col min="3" max="3" width="11.57421875" style="0" bestFit="1" customWidth="1"/>
    <col min="4" max="6" width="6.140625" style="0" bestFit="1" customWidth="1"/>
    <col min="7" max="7" width="8.57421875" style="0" customWidth="1"/>
    <col min="8" max="8" width="8.421875" style="0" customWidth="1"/>
    <col min="9" max="10" width="10.57421875" style="0" bestFit="1" customWidth="1"/>
    <col min="11" max="11" width="11.57421875" style="0" bestFit="1" customWidth="1"/>
    <col min="12" max="13" width="10.421875" style="0" bestFit="1" customWidth="1"/>
    <col min="14" max="14" width="10.57421875" style="0" bestFit="1" customWidth="1"/>
    <col min="15" max="15" width="11.57421875" style="0" bestFit="1" customWidth="1"/>
    <col min="16" max="16" width="8.421875" style="0" customWidth="1"/>
    <col min="17" max="17" width="13.00390625" style="0" bestFit="1" customWidth="1"/>
  </cols>
  <sheetData>
    <row r="1" spans="1:17" ht="21.75" customHeight="1">
      <c r="A1" s="515" t="s">
        <v>14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</row>
    <row r="2" spans="1:17" ht="21" customHeight="1">
      <c r="A2" s="515" t="s">
        <v>107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</row>
    <row r="3" spans="1:17" ht="21.75" customHeight="1" thickBot="1">
      <c r="A3" s="535" t="s">
        <v>291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</row>
    <row r="4" spans="1:17" s="436" customFormat="1" ht="21">
      <c r="A4" s="431" t="s">
        <v>16</v>
      </c>
      <c r="B4" s="432" t="s">
        <v>80</v>
      </c>
      <c r="C4" s="537" t="s">
        <v>82</v>
      </c>
      <c r="D4" s="538"/>
      <c r="E4" s="537" t="s">
        <v>85</v>
      </c>
      <c r="F4" s="538"/>
      <c r="G4" s="537" t="s">
        <v>86</v>
      </c>
      <c r="H4" s="538"/>
      <c r="I4" s="537" t="s">
        <v>87</v>
      </c>
      <c r="J4" s="539"/>
      <c r="K4" s="537" t="s">
        <v>91</v>
      </c>
      <c r="L4" s="538"/>
      <c r="M4" s="432" t="s">
        <v>92</v>
      </c>
      <c r="N4" s="433" t="s">
        <v>95</v>
      </c>
      <c r="O4" s="434" t="s">
        <v>96</v>
      </c>
      <c r="P4" s="434" t="s">
        <v>99</v>
      </c>
      <c r="Q4" s="435" t="s">
        <v>17</v>
      </c>
    </row>
    <row r="5" spans="1:17" s="436" customFormat="1" ht="21.75" thickBot="1">
      <c r="A5" s="437" t="s">
        <v>18</v>
      </c>
      <c r="B5" s="438" t="s">
        <v>81</v>
      </c>
      <c r="C5" s="439" t="s">
        <v>83</v>
      </c>
      <c r="D5" s="440" t="s">
        <v>84</v>
      </c>
      <c r="E5" s="438" t="s">
        <v>76</v>
      </c>
      <c r="F5" s="438" t="s">
        <v>77</v>
      </c>
      <c r="G5" s="438" t="s">
        <v>78</v>
      </c>
      <c r="H5" s="438" t="s">
        <v>79</v>
      </c>
      <c r="I5" s="440" t="s">
        <v>88</v>
      </c>
      <c r="J5" s="441" t="s">
        <v>89</v>
      </c>
      <c r="K5" s="439" t="s">
        <v>90</v>
      </c>
      <c r="L5" s="439" t="s">
        <v>109</v>
      </c>
      <c r="M5" s="439" t="s">
        <v>93</v>
      </c>
      <c r="N5" s="442" t="s">
        <v>94</v>
      </c>
      <c r="O5" s="443" t="s">
        <v>97</v>
      </c>
      <c r="P5" s="443" t="s">
        <v>98</v>
      </c>
      <c r="Q5" s="444"/>
    </row>
    <row r="6" spans="1:17" ht="18.75" customHeight="1">
      <c r="A6" s="333" t="s">
        <v>256</v>
      </c>
      <c r="B6" s="334"/>
      <c r="C6" s="334"/>
      <c r="D6" s="335"/>
      <c r="E6" s="334"/>
      <c r="F6" s="334"/>
      <c r="G6" s="334"/>
      <c r="H6" s="334"/>
      <c r="I6" s="334"/>
      <c r="J6" s="336"/>
      <c r="K6" s="335"/>
      <c r="L6" s="335"/>
      <c r="M6" s="335"/>
      <c r="N6" s="336"/>
      <c r="O6" s="336"/>
      <c r="P6" s="336"/>
      <c r="Q6" s="336"/>
    </row>
    <row r="7" spans="1:17" ht="21.75">
      <c r="A7" s="337" t="s">
        <v>229</v>
      </c>
      <c r="B7" s="338">
        <v>0</v>
      </c>
      <c r="C7" s="39">
        <v>0</v>
      </c>
      <c r="D7" s="3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f>SUM(B7:P7)</f>
        <v>0</v>
      </c>
    </row>
    <row r="8" spans="1:17" ht="21.75">
      <c r="A8" s="340" t="s">
        <v>19</v>
      </c>
      <c r="B8" s="338">
        <f aca="true" t="shared" si="0" ref="B8:P8">SUM(B7:B7)</f>
        <v>0</v>
      </c>
      <c r="C8" s="338">
        <f t="shared" si="0"/>
        <v>0</v>
      </c>
      <c r="D8" s="338">
        <f t="shared" si="0"/>
        <v>0</v>
      </c>
      <c r="E8" s="338">
        <f t="shared" si="0"/>
        <v>0</v>
      </c>
      <c r="F8" s="338">
        <f t="shared" si="0"/>
        <v>0</v>
      </c>
      <c r="G8" s="338">
        <f t="shared" si="0"/>
        <v>0</v>
      </c>
      <c r="H8" s="338">
        <f t="shared" si="0"/>
        <v>0</v>
      </c>
      <c r="I8" s="338">
        <f t="shared" si="0"/>
        <v>0</v>
      </c>
      <c r="J8" s="338">
        <f t="shared" si="0"/>
        <v>0</v>
      </c>
      <c r="K8" s="338">
        <f t="shared" si="0"/>
        <v>0</v>
      </c>
      <c r="L8" s="338">
        <f t="shared" si="0"/>
        <v>0</v>
      </c>
      <c r="M8" s="338">
        <f t="shared" si="0"/>
        <v>0</v>
      </c>
      <c r="N8" s="338">
        <f t="shared" si="0"/>
        <v>0</v>
      </c>
      <c r="O8" s="338">
        <f t="shared" si="0"/>
        <v>0</v>
      </c>
      <c r="P8" s="338">
        <f t="shared" si="0"/>
        <v>0</v>
      </c>
      <c r="Q8" s="39">
        <f>SUM(B8:P8)</f>
        <v>0</v>
      </c>
    </row>
    <row r="9" spans="1:17" s="38" customFormat="1" ht="21.75">
      <c r="A9" s="341" t="s">
        <v>20</v>
      </c>
      <c r="B9" s="342">
        <v>0</v>
      </c>
      <c r="C9" s="342">
        <f>0</f>
        <v>0</v>
      </c>
      <c r="D9" s="342">
        <f>0</f>
        <v>0</v>
      </c>
      <c r="E9" s="342">
        <f>0</f>
        <v>0</v>
      </c>
      <c r="F9" s="342">
        <f>0</f>
        <v>0</v>
      </c>
      <c r="G9" s="342">
        <f>0</f>
        <v>0</v>
      </c>
      <c r="H9" s="342">
        <f>0</f>
        <v>0</v>
      </c>
      <c r="I9" s="342">
        <f>0</f>
        <v>0</v>
      </c>
      <c r="J9" s="342">
        <f>0</f>
        <v>0</v>
      </c>
      <c r="K9" s="342">
        <f>0</f>
        <v>0</v>
      </c>
      <c r="L9" s="342">
        <f>0</f>
        <v>0</v>
      </c>
      <c r="M9" s="342">
        <f>0</f>
        <v>0</v>
      </c>
      <c r="N9" s="342">
        <f>0</f>
        <v>0</v>
      </c>
      <c r="O9" s="342">
        <f>0</f>
        <v>0</v>
      </c>
      <c r="P9" s="342">
        <f>0</f>
        <v>0</v>
      </c>
      <c r="Q9" s="40">
        <f>SUM(B9:P9)</f>
        <v>0</v>
      </c>
    </row>
    <row r="10" spans="1:17" ht="20.25" customHeight="1">
      <c r="A10" s="343" t="s">
        <v>257</v>
      </c>
      <c r="B10" s="338"/>
      <c r="C10" s="39"/>
      <c r="D10" s="339"/>
      <c r="E10" s="39"/>
      <c r="F10" s="39"/>
      <c r="G10" s="39"/>
      <c r="H10" s="39"/>
      <c r="I10" s="39"/>
      <c r="J10" s="39"/>
      <c r="K10" s="339"/>
      <c r="L10" s="339"/>
      <c r="M10" s="339"/>
      <c r="N10" s="39"/>
      <c r="O10" s="39"/>
      <c r="P10" s="39"/>
      <c r="Q10" s="39"/>
    </row>
    <row r="11" spans="1:17" ht="21.75">
      <c r="A11" s="340">
        <v>210100</v>
      </c>
      <c r="B11" s="338">
        <v>0</v>
      </c>
      <c r="C11" s="338">
        <v>0</v>
      </c>
      <c r="D11" s="338">
        <v>0</v>
      </c>
      <c r="E11" s="338">
        <v>0</v>
      </c>
      <c r="F11" s="338">
        <v>0</v>
      </c>
      <c r="G11" s="338">
        <v>0</v>
      </c>
      <c r="H11" s="338">
        <v>0</v>
      </c>
      <c r="I11" s="338">
        <v>0</v>
      </c>
      <c r="J11" s="338">
        <v>0</v>
      </c>
      <c r="K11" s="338">
        <v>0</v>
      </c>
      <c r="L11" s="338">
        <v>0</v>
      </c>
      <c r="M11" s="338">
        <v>0</v>
      </c>
      <c r="N11" s="338">
        <v>0</v>
      </c>
      <c r="O11" s="338">
        <v>0</v>
      </c>
      <c r="P11" s="338">
        <v>0</v>
      </c>
      <c r="Q11" s="39">
        <f>SUM(B11:P11)</f>
        <v>0</v>
      </c>
    </row>
    <row r="12" spans="1:17" ht="21.75">
      <c r="A12" s="340" t="s">
        <v>19</v>
      </c>
      <c r="B12" s="338">
        <f aca="true" t="shared" si="1" ref="B12:P12">SUM(B11:B11)</f>
        <v>0</v>
      </c>
      <c r="C12" s="338">
        <f t="shared" si="1"/>
        <v>0</v>
      </c>
      <c r="D12" s="338">
        <f t="shared" si="1"/>
        <v>0</v>
      </c>
      <c r="E12" s="338">
        <f t="shared" si="1"/>
        <v>0</v>
      </c>
      <c r="F12" s="338">
        <f t="shared" si="1"/>
        <v>0</v>
      </c>
      <c r="G12" s="338">
        <f t="shared" si="1"/>
        <v>0</v>
      </c>
      <c r="H12" s="338">
        <f t="shared" si="1"/>
        <v>0</v>
      </c>
      <c r="I12" s="338">
        <f t="shared" si="1"/>
        <v>0</v>
      </c>
      <c r="J12" s="338">
        <f t="shared" si="1"/>
        <v>0</v>
      </c>
      <c r="K12" s="338">
        <f t="shared" si="1"/>
        <v>0</v>
      </c>
      <c r="L12" s="338">
        <f t="shared" si="1"/>
        <v>0</v>
      </c>
      <c r="M12" s="338">
        <f t="shared" si="1"/>
        <v>0</v>
      </c>
      <c r="N12" s="338">
        <f t="shared" si="1"/>
        <v>0</v>
      </c>
      <c r="O12" s="338">
        <f t="shared" si="1"/>
        <v>0</v>
      </c>
      <c r="P12" s="338">
        <f t="shared" si="1"/>
        <v>0</v>
      </c>
      <c r="Q12" s="39">
        <f>SUM(B12:P12)</f>
        <v>0</v>
      </c>
    </row>
    <row r="13" spans="1:17" s="38" customFormat="1" ht="21.75">
      <c r="A13" s="341" t="s">
        <v>20</v>
      </c>
      <c r="B13" s="342">
        <f>0</f>
        <v>0</v>
      </c>
      <c r="C13" s="342">
        <v>0</v>
      </c>
      <c r="D13" s="342">
        <v>0</v>
      </c>
      <c r="E13" s="342">
        <f>0</f>
        <v>0</v>
      </c>
      <c r="F13" s="342">
        <f>0</f>
        <v>0</v>
      </c>
      <c r="G13" s="342">
        <v>0</v>
      </c>
      <c r="H13" s="342">
        <f>0</f>
        <v>0</v>
      </c>
      <c r="I13" s="342">
        <f>0</f>
        <v>0</v>
      </c>
      <c r="J13" s="342">
        <f>0</f>
        <v>0</v>
      </c>
      <c r="K13" s="342">
        <f>0</f>
        <v>0</v>
      </c>
      <c r="L13" s="342">
        <f>0</f>
        <v>0</v>
      </c>
      <c r="M13" s="342">
        <f>0</f>
        <v>0</v>
      </c>
      <c r="N13" s="342">
        <f>0</f>
        <v>0</v>
      </c>
      <c r="O13" s="342">
        <f>0</f>
        <v>0</v>
      </c>
      <c r="P13" s="342">
        <f>0</f>
        <v>0</v>
      </c>
      <c r="Q13" s="40">
        <f>SUM(B13:P13)</f>
        <v>0</v>
      </c>
    </row>
    <row r="14" spans="1:17" ht="20.25" customHeight="1">
      <c r="A14" s="343" t="s">
        <v>258</v>
      </c>
      <c r="B14" s="338"/>
      <c r="C14" s="338"/>
      <c r="D14" s="344"/>
      <c r="E14" s="39"/>
      <c r="F14" s="39"/>
      <c r="G14" s="39"/>
      <c r="H14" s="338"/>
      <c r="I14" s="39"/>
      <c r="J14" s="39"/>
      <c r="K14" s="339"/>
      <c r="L14" s="339"/>
      <c r="M14" s="339"/>
      <c r="N14" s="39"/>
      <c r="O14" s="39"/>
      <c r="P14" s="39"/>
      <c r="Q14" s="39"/>
    </row>
    <row r="15" spans="1:17" ht="21.75">
      <c r="A15" s="340">
        <v>220100</v>
      </c>
      <c r="B15" s="338">
        <v>0</v>
      </c>
      <c r="C15" s="338">
        <v>0</v>
      </c>
      <c r="D15" s="338">
        <v>0</v>
      </c>
      <c r="E15" s="338">
        <v>0</v>
      </c>
      <c r="F15" s="338">
        <v>0</v>
      </c>
      <c r="G15" s="338">
        <v>0</v>
      </c>
      <c r="H15" s="338">
        <v>0</v>
      </c>
      <c r="I15" s="338">
        <v>0</v>
      </c>
      <c r="J15" s="338">
        <v>0</v>
      </c>
      <c r="K15" s="338">
        <v>0</v>
      </c>
      <c r="L15" s="338">
        <v>0</v>
      </c>
      <c r="M15" s="338">
        <v>0</v>
      </c>
      <c r="N15" s="338">
        <v>0</v>
      </c>
      <c r="O15" s="338">
        <v>0</v>
      </c>
      <c r="P15" s="338">
        <v>0</v>
      </c>
      <c r="Q15" s="39">
        <f>SUM(B15:P15)</f>
        <v>0</v>
      </c>
    </row>
    <row r="16" spans="1:17" ht="21.75">
      <c r="A16" s="340" t="s">
        <v>19</v>
      </c>
      <c r="B16" s="338">
        <f aca="true" t="shared" si="2" ref="B16:P16">B15</f>
        <v>0</v>
      </c>
      <c r="C16" s="338">
        <f t="shared" si="2"/>
        <v>0</v>
      </c>
      <c r="D16" s="338">
        <f t="shared" si="2"/>
        <v>0</v>
      </c>
      <c r="E16" s="338">
        <f t="shared" si="2"/>
        <v>0</v>
      </c>
      <c r="F16" s="338">
        <f t="shared" si="2"/>
        <v>0</v>
      </c>
      <c r="G16" s="338">
        <f t="shared" si="2"/>
        <v>0</v>
      </c>
      <c r="H16" s="338">
        <f t="shared" si="2"/>
        <v>0</v>
      </c>
      <c r="I16" s="338">
        <f t="shared" si="2"/>
        <v>0</v>
      </c>
      <c r="J16" s="338">
        <f t="shared" si="2"/>
        <v>0</v>
      </c>
      <c r="K16" s="338">
        <f t="shared" si="2"/>
        <v>0</v>
      </c>
      <c r="L16" s="338">
        <f t="shared" si="2"/>
        <v>0</v>
      </c>
      <c r="M16" s="338">
        <f t="shared" si="2"/>
        <v>0</v>
      </c>
      <c r="N16" s="338">
        <f t="shared" si="2"/>
        <v>0</v>
      </c>
      <c r="O16" s="338">
        <f t="shared" si="2"/>
        <v>0</v>
      </c>
      <c r="P16" s="338">
        <f t="shared" si="2"/>
        <v>0</v>
      </c>
      <c r="Q16" s="39">
        <f>SUM(B16:P16)</f>
        <v>0</v>
      </c>
    </row>
    <row r="17" spans="1:17" s="38" customFormat="1" ht="21.75">
      <c r="A17" s="341" t="s">
        <v>20</v>
      </c>
      <c r="B17" s="342">
        <f>0</f>
        <v>0</v>
      </c>
      <c r="C17" s="342">
        <v>0</v>
      </c>
      <c r="D17" s="342">
        <v>0</v>
      </c>
      <c r="E17" s="342">
        <f>0</f>
        <v>0</v>
      </c>
      <c r="F17" s="342">
        <f>0</f>
        <v>0</v>
      </c>
      <c r="G17" s="342">
        <f>0</f>
        <v>0</v>
      </c>
      <c r="H17" s="342">
        <f>0</f>
        <v>0</v>
      </c>
      <c r="I17" s="342">
        <f>0</f>
        <v>0</v>
      </c>
      <c r="J17" s="345">
        <f>0</f>
        <v>0</v>
      </c>
      <c r="K17" s="342">
        <f>0</f>
        <v>0</v>
      </c>
      <c r="L17" s="342">
        <f>0</f>
        <v>0</v>
      </c>
      <c r="M17" s="342">
        <f>0</f>
        <v>0</v>
      </c>
      <c r="N17" s="342">
        <f>0</f>
        <v>0</v>
      </c>
      <c r="O17" s="342">
        <f>0</f>
        <v>0</v>
      </c>
      <c r="P17" s="342">
        <f>0</f>
        <v>0</v>
      </c>
      <c r="Q17" s="40">
        <f>SUM(B17:P17)</f>
        <v>0</v>
      </c>
    </row>
    <row r="18" spans="1:17" ht="20.25" customHeight="1">
      <c r="A18" s="346" t="s">
        <v>259</v>
      </c>
      <c r="B18" s="347"/>
      <c r="C18" s="347"/>
      <c r="D18" s="348"/>
      <c r="E18" s="334"/>
      <c r="F18" s="334"/>
      <c r="G18" s="334"/>
      <c r="H18" s="347"/>
      <c r="I18" s="334"/>
      <c r="J18" s="39"/>
      <c r="K18" s="335"/>
      <c r="L18" s="335"/>
      <c r="M18" s="335"/>
      <c r="N18" s="334"/>
      <c r="O18" s="39"/>
      <c r="P18" s="39"/>
      <c r="Q18" s="39"/>
    </row>
    <row r="19" spans="1:17" ht="21.75">
      <c r="A19" s="340">
        <v>310300</v>
      </c>
      <c r="B19" s="338">
        <v>0</v>
      </c>
      <c r="C19" s="338">
        <v>0</v>
      </c>
      <c r="D19" s="338">
        <v>0</v>
      </c>
      <c r="E19" s="338">
        <v>0</v>
      </c>
      <c r="F19" s="338">
        <v>0</v>
      </c>
      <c r="G19" s="338">
        <v>0</v>
      </c>
      <c r="H19" s="338">
        <v>0</v>
      </c>
      <c r="I19" s="338">
        <v>0</v>
      </c>
      <c r="J19" s="338">
        <v>0</v>
      </c>
      <c r="K19" s="338">
        <v>0</v>
      </c>
      <c r="L19" s="338">
        <v>0</v>
      </c>
      <c r="M19" s="338">
        <v>0</v>
      </c>
      <c r="N19" s="338">
        <v>0</v>
      </c>
      <c r="O19" s="338">
        <v>0</v>
      </c>
      <c r="P19" s="338">
        <v>0</v>
      </c>
      <c r="Q19" s="39">
        <f>SUM(B19:P19)</f>
        <v>0</v>
      </c>
    </row>
    <row r="20" spans="1:17" ht="21.75">
      <c r="A20" s="340" t="s">
        <v>19</v>
      </c>
      <c r="B20" s="338">
        <f aca="true" t="shared" si="3" ref="B20:P20">SUM(B19:B19)</f>
        <v>0</v>
      </c>
      <c r="C20" s="338">
        <f t="shared" si="3"/>
        <v>0</v>
      </c>
      <c r="D20" s="338">
        <f t="shared" si="3"/>
        <v>0</v>
      </c>
      <c r="E20" s="338">
        <f t="shared" si="3"/>
        <v>0</v>
      </c>
      <c r="F20" s="338">
        <f t="shared" si="3"/>
        <v>0</v>
      </c>
      <c r="G20" s="338">
        <f t="shared" si="3"/>
        <v>0</v>
      </c>
      <c r="H20" s="338">
        <f t="shared" si="3"/>
        <v>0</v>
      </c>
      <c r="I20" s="338">
        <f t="shared" si="3"/>
        <v>0</v>
      </c>
      <c r="J20" s="338">
        <f t="shared" si="3"/>
        <v>0</v>
      </c>
      <c r="K20" s="338">
        <f t="shared" si="3"/>
        <v>0</v>
      </c>
      <c r="L20" s="338">
        <f t="shared" si="3"/>
        <v>0</v>
      </c>
      <c r="M20" s="338">
        <f t="shared" si="3"/>
        <v>0</v>
      </c>
      <c r="N20" s="338">
        <f t="shared" si="3"/>
        <v>0</v>
      </c>
      <c r="O20" s="338">
        <f t="shared" si="3"/>
        <v>0</v>
      </c>
      <c r="P20" s="338">
        <f t="shared" si="3"/>
        <v>0</v>
      </c>
      <c r="Q20" s="39">
        <f>SUM(B20:P20)</f>
        <v>0</v>
      </c>
    </row>
    <row r="21" spans="1:17" s="38" customFormat="1" ht="21.75">
      <c r="A21" s="341" t="s">
        <v>20</v>
      </c>
      <c r="B21" s="342">
        <f>0</f>
        <v>0</v>
      </c>
      <c r="C21" s="342">
        <v>0</v>
      </c>
      <c r="D21" s="342">
        <v>0</v>
      </c>
      <c r="E21" s="342">
        <f>0</f>
        <v>0</v>
      </c>
      <c r="F21" s="342">
        <f>0</f>
        <v>0</v>
      </c>
      <c r="G21" s="342">
        <v>0</v>
      </c>
      <c r="H21" s="342">
        <f>0</f>
        <v>0</v>
      </c>
      <c r="I21" s="342">
        <f>0</f>
        <v>0</v>
      </c>
      <c r="J21" s="342">
        <f>0</f>
        <v>0</v>
      </c>
      <c r="K21" s="342">
        <f>0</f>
        <v>0</v>
      </c>
      <c r="L21" s="342">
        <v>0</v>
      </c>
      <c r="M21" s="342">
        <f>0</f>
        <v>0</v>
      </c>
      <c r="N21" s="342">
        <f>0</f>
        <v>0</v>
      </c>
      <c r="O21" s="342">
        <f>0</f>
        <v>0</v>
      </c>
      <c r="P21" s="342">
        <f>0</f>
        <v>0</v>
      </c>
      <c r="Q21" s="40">
        <f>SUM(B21:P21)</f>
        <v>0</v>
      </c>
    </row>
    <row r="22" spans="1:17" ht="20.25" customHeight="1">
      <c r="A22" s="343" t="s">
        <v>260</v>
      </c>
      <c r="B22" s="338"/>
      <c r="C22" s="338"/>
      <c r="D22" s="344"/>
      <c r="E22" s="39"/>
      <c r="F22" s="39"/>
      <c r="G22" s="39"/>
      <c r="H22" s="338"/>
      <c r="I22" s="39"/>
      <c r="J22" s="39"/>
      <c r="K22" s="339"/>
      <c r="L22" s="339"/>
      <c r="M22" s="339"/>
      <c r="N22" s="338"/>
      <c r="O22" s="39"/>
      <c r="P22" s="39"/>
      <c r="Q22" s="39"/>
    </row>
    <row r="23" spans="1:17" ht="21.75">
      <c r="A23" s="340">
        <v>320100</v>
      </c>
      <c r="B23" s="338">
        <v>0</v>
      </c>
      <c r="C23" s="338">
        <v>0</v>
      </c>
      <c r="D23" s="338">
        <v>0</v>
      </c>
      <c r="E23" s="338">
        <v>0</v>
      </c>
      <c r="F23" s="338">
        <v>0</v>
      </c>
      <c r="G23" s="338">
        <v>0</v>
      </c>
      <c r="H23" s="338">
        <v>0</v>
      </c>
      <c r="I23" s="338">
        <v>0</v>
      </c>
      <c r="J23" s="338">
        <v>0</v>
      </c>
      <c r="K23" s="338">
        <v>0</v>
      </c>
      <c r="L23" s="338">
        <v>0</v>
      </c>
      <c r="M23" s="338">
        <v>0</v>
      </c>
      <c r="N23" s="338">
        <v>0</v>
      </c>
      <c r="O23" s="338">
        <v>0</v>
      </c>
      <c r="P23" s="338">
        <v>0</v>
      </c>
      <c r="Q23" s="39">
        <f>SUM(B23:P23)</f>
        <v>0</v>
      </c>
    </row>
    <row r="24" spans="1:17" ht="21.75">
      <c r="A24" s="340">
        <v>320300</v>
      </c>
      <c r="B24" s="338">
        <v>0</v>
      </c>
      <c r="C24" s="338">
        <v>0</v>
      </c>
      <c r="D24" s="338">
        <v>0</v>
      </c>
      <c r="E24" s="338">
        <v>0</v>
      </c>
      <c r="F24" s="338">
        <v>0</v>
      </c>
      <c r="G24" s="338">
        <v>0</v>
      </c>
      <c r="H24" s="338">
        <v>0</v>
      </c>
      <c r="I24" s="338">
        <v>15000</v>
      </c>
      <c r="J24" s="338">
        <v>0</v>
      </c>
      <c r="K24" s="338">
        <v>0</v>
      </c>
      <c r="L24" s="338">
        <v>0</v>
      </c>
      <c r="M24" s="338">
        <v>0</v>
      </c>
      <c r="N24" s="338">
        <v>0</v>
      </c>
      <c r="O24" s="338">
        <v>0</v>
      </c>
      <c r="P24" s="338">
        <v>0</v>
      </c>
      <c r="Q24" s="39">
        <f>SUM(B24:P24)</f>
        <v>15000</v>
      </c>
    </row>
    <row r="25" spans="1:17" ht="21.75">
      <c r="A25" s="340" t="s">
        <v>19</v>
      </c>
      <c r="B25" s="338">
        <f>SUM(B23:B24)</f>
        <v>0</v>
      </c>
      <c r="C25" s="338">
        <f aca="true" t="shared" si="4" ref="C25:Q25">SUM(C23:C24)</f>
        <v>0</v>
      </c>
      <c r="D25" s="338">
        <f t="shared" si="4"/>
        <v>0</v>
      </c>
      <c r="E25" s="338">
        <f t="shared" si="4"/>
        <v>0</v>
      </c>
      <c r="F25" s="338">
        <f t="shared" si="4"/>
        <v>0</v>
      </c>
      <c r="G25" s="338">
        <f t="shared" si="4"/>
        <v>0</v>
      </c>
      <c r="H25" s="338">
        <f t="shared" si="4"/>
        <v>0</v>
      </c>
      <c r="I25" s="338">
        <f t="shared" si="4"/>
        <v>15000</v>
      </c>
      <c r="J25" s="338">
        <f t="shared" si="4"/>
        <v>0</v>
      </c>
      <c r="K25" s="338">
        <f t="shared" si="4"/>
        <v>0</v>
      </c>
      <c r="L25" s="338">
        <f t="shared" si="4"/>
        <v>0</v>
      </c>
      <c r="M25" s="338">
        <f t="shared" si="4"/>
        <v>0</v>
      </c>
      <c r="N25" s="338">
        <f t="shared" si="4"/>
        <v>0</v>
      </c>
      <c r="O25" s="338">
        <f t="shared" si="4"/>
        <v>0</v>
      </c>
      <c r="P25" s="338">
        <f t="shared" si="4"/>
        <v>0</v>
      </c>
      <c r="Q25" s="338">
        <f t="shared" si="4"/>
        <v>15000</v>
      </c>
    </row>
    <row r="26" spans="1:17" s="38" customFormat="1" ht="21.75">
      <c r="A26" s="349" t="s">
        <v>20</v>
      </c>
      <c r="B26" s="342">
        <f>0</f>
        <v>0</v>
      </c>
      <c r="C26" s="342">
        <v>0</v>
      </c>
      <c r="D26" s="342">
        <f>0</f>
        <v>0</v>
      </c>
      <c r="E26" s="342">
        <f>0</f>
        <v>0</v>
      </c>
      <c r="F26" s="342">
        <f>0</f>
        <v>0</v>
      </c>
      <c r="G26" s="342">
        <v>0</v>
      </c>
      <c r="H26" s="342">
        <f>0</f>
        <v>0</v>
      </c>
      <c r="I26" s="342">
        <v>15000</v>
      </c>
      <c r="J26" s="342">
        <f>0</f>
        <v>0</v>
      </c>
      <c r="K26" s="342">
        <f>0</f>
        <v>0</v>
      </c>
      <c r="L26" s="342">
        <v>0</v>
      </c>
      <c r="M26" s="342">
        <f>0</f>
        <v>0</v>
      </c>
      <c r="N26" s="342">
        <f>0</f>
        <v>0</v>
      </c>
      <c r="O26" s="342">
        <f>0</f>
        <v>0</v>
      </c>
      <c r="P26" s="342">
        <f>0</f>
        <v>0</v>
      </c>
      <c r="Q26" s="40">
        <f>SUM(B26:P26)</f>
        <v>15000</v>
      </c>
    </row>
    <row r="27" spans="1:17" ht="18" customHeight="1">
      <c r="A27" s="343" t="s">
        <v>261</v>
      </c>
      <c r="B27" s="347"/>
      <c r="C27" s="338"/>
      <c r="D27" s="348"/>
      <c r="E27" s="334"/>
      <c r="F27" s="338"/>
      <c r="G27" s="338"/>
      <c r="H27" s="338"/>
      <c r="I27" s="350"/>
      <c r="J27" s="347"/>
      <c r="K27" s="344"/>
      <c r="L27" s="348"/>
      <c r="M27" s="335"/>
      <c r="N27" s="338"/>
      <c r="O27" s="39"/>
      <c r="P27" s="39"/>
      <c r="Q27" s="39"/>
    </row>
    <row r="28" spans="1:17" ht="21.75">
      <c r="A28" s="340">
        <v>331700</v>
      </c>
      <c r="B28" s="338">
        <v>0</v>
      </c>
      <c r="C28" s="338">
        <v>0</v>
      </c>
      <c r="D28" s="338">
        <v>0</v>
      </c>
      <c r="E28" s="338">
        <v>0</v>
      </c>
      <c r="F28" s="338">
        <v>0</v>
      </c>
      <c r="G28" s="338">
        <v>0</v>
      </c>
      <c r="H28" s="338">
        <v>0</v>
      </c>
      <c r="I28" s="338">
        <v>0</v>
      </c>
      <c r="J28" s="338">
        <v>0</v>
      </c>
      <c r="K28" s="338">
        <v>32163</v>
      </c>
      <c r="L28" s="338">
        <v>0</v>
      </c>
      <c r="M28" s="338">
        <v>0</v>
      </c>
      <c r="N28" s="338">
        <v>0</v>
      </c>
      <c r="O28" s="338">
        <v>0</v>
      </c>
      <c r="P28" s="338">
        <v>0</v>
      </c>
      <c r="Q28" s="39">
        <f>SUM(B28:P28)</f>
        <v>32163</v>
      </c>
    </row>
    <row r="29" spans="1:17" ht="21.75">
      <c r="A29" s="340" t="s">
        <v>19</v>
      </c>
      <c r="B29" s="338">
        <f aca="true" t="shared" si="5" ref="B29:P29">SUM(B28:B28)</f>
        <v>0</v>
      </c>
      <c r="C29" s="338">
        <f t="shared" si="5"/>
        <v>0</v>
      </c>
      <c r="D29" s="338">
        <f t="shared" si="5"/>
        <v>0</v>
      </c>
      <c r="E29" s="338">
        <f t="shared" si="5"/>
        <v>0</v>
      </c>
      <c r="F29" s="338">
        <f t="shared" si="5"/>
        <v>0</v>
      </c>
      <c r="G29" s="338">
        <f t="shared" si="5"/>
        <v>0</v>
      </c>
      <c r="H29" s="338">
        <f t="shared" si="5"/>
        <v>0</v>
      </c>
      <c r="I29" s="338">
        <f t="shared" si="5"/>
        <v>0</v>
      </c>
      <c r="J29" s="338">
        <f t="shared" si="5"/>
        <v>0</v>
      </c>
      <c r="K29" s="338">
        <f t="shared" si="5"/>
        <v>32163</v>
      </c>
      <c r="L29" s="338">
        <f t="shared" si="5"/>
        <v>0</v>
      </c>
      <c r="M29" s="338">
        <f t="shared" si="5"/>
        <v>0</v>
      </c>
      <c r="N29" s="338">
        <f t="shared" si="5"/>
        <v>0</v>
      </c>
      <c r="O29" s="338">
        <f t="shared" si="5"/>
        <v>0</v>
      </c>
      <c r="P29" s="338">
        <f t="shared" si="5"/>
        <v>0</v>
      </c>
      <c r="Q29" s="39">
        <f>SUM(B29:P29)</f>
        <v>32163</v>
      </c>
    </row>
    <row r="30" spans="1:17" s="38" customFormat="1" ht="21.75">
      <c r="A30" s="341" t="s">
        <v>20</v>
      </c>
      <c r="B30" s="342">
        <f>0</f>
        <v>0</v>
      </c>
      <c r="C30" s="342">
        <v>0</v>
      </c>
      <c r="D30" s="342">
        <v>0</v>
      </c>
      <c r="E30" s="342">
        <f>0</f>
        <v>0</v>
      </c>
      <c r="F30" s="342">
        <f>0</f>
        <v>0</v>
      </c>
      <c r="G30" s="342">
        <v>0</v>
      </c>
      <c r="H30" s="342">
        <f>0</f>
        <v>0</v>
      </c>
      <c r="I30" s="342">
        <f>0</f>
        <v>0</v>
      </c>
      <c r="J30" s="342">
        <f>0</f>
        <v>0</v>
      </c>
      <c r="K30" s="342">
        <f>48244.5+32163</f>
        <v>80407.5</v>
      </c>
      <c r="L30" s="342">
        <v>0</v>
      </c>
      <c r="M30" s="342">
        <f>0</f>
        <v>0</v>
      </c>
      <c r="N30" s="342">
        <f>0</f>
        <v>0</v>
      </c>
      <c r="O30" s="342">
        <f>0</f>
        <v>0</v>
      </c>
      <c r="P30" s="342">
        <f>0</f>
        <v>0</v>
      </c>
      <c r="Q30" s="40">
        <f>SUM(B30:P30)</f>
        <v>80407.5</v>
      </c>
    </row>
    <row r="31" spans="1:17" s="38" customFormat="1" ht="18.75" customHeight="1">
      <c r="A31" s="351"/>
      <c r="B31" s="352"/>
      <c r="C31" s="352"/>
      <c r="D31" s="540" t="s">
        <v>7</v>
      </c>
      <c r="E31" s="540"/>
      <c r="F31" s="540"/>
      <c r="G31" s="540"/>
      <c r="H31" s="87"/>
      <c r="I31" s="87"/>
      <c r="J31" s="87"/>
      <c r="K31" s="540" t="s">
        <v>101</v>
      </c>
      <c r="L31" s="540"/>
      <c r="M31" s="540"/>
      <c r="N31" s="352"/>
      <c r="O31" s="352"/>
      <c r="P31" s="352"/>
      <c r="Q31" s="353"/>
    </row>
    <row r="32" spans="1:17" s="38" customFormat="1" ht="17.25" customHeight="1">
      <c r="A32" s="56"/>
      <c r="B32" s="54"/>
      <c r="C32" s="54"/>
      <c r="D32" s="139"/>
      <c r="E32" s="139"/>
      <c r="F32" s="139"/>
      <c r="G32" s="139"/>
      <c r="H32" s="87"/>
      <c r="I32" s="87"/>
      <c r="J32" s="87"/>
      <c r="K32" s="139"/>
      <c r="L32" s="139"/>
      <c r="M32" s="139"/>
      <c r="N32" s="54"/>
      <c r="O32" s="54"/>
      <c r="P32" s="54"/>
      <c r="Q32" s="55"/>
    </row>
    <row r="33" spans="1:17" s="38" customFormat="1" ht="20.25" customHeight="1">
      <c r="A33" s="351"/>
      <c r="B33" s="352"/>
      <c r="C33" s="352"/>
      <c r="D33" s="541" t="s">
        <v>121</v>
      </c>
      <c r="E33" s="541"/>
      <c r="F33" s="541"/>
      <c r="G33" s="541"/>
      <c r="H33" s="87"/>
      <c r="I33" s="87"/>
      <c r="J33" s="87"/>
      <c r="K33" s="541" t="s">
        <v>102</v>
      </c>
      <c r="L33" s="541"/>
      <c r="M33" s="541"/>
      <c r="N33" s="352"/>
      <c r="O33" s="352"/>
      <c r="P33" s="352"/>
      <c r="Q33" s="353"/>
    </row>
    <row r="34" spans="1:17" s="38" customFormat="1" ht="18.75" customHeight="1">
      <c r="A34" s="351"/>
      <c r="B34" s="352"/>
      <c r="C34" s="352"/>
      <c r="D34" s="541" t="s">
        <v>111</v>
      </c>
      <c r="E34" s="541"/>
      <c r="F34" s="541"/>
      <c r="G34" s="541"/>
      <c r="H34" s="87"/>
      <c r="I34" s="87"/>
      <c r="J34" s="87"/>
      <c r="K34" s="541" t="s">
        <v>100</v>
      </c>
      <c r="L34" s="541"/>
      <c r="M34" s="541"/>
      <c r="N34" s="352"/>
      <c r="O34" s="352"/>
      <c r="P34" s="352"/>
      <c r="Q34" s="353"/>
    </row>
    <row r="35" spans="1:17" ht="22.5" thickBot="1">
      <c r="A35" s="536" t="s">
        <v>21</v>
      </c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</row>
    <row r="36" spans="1:17" s="436" customFormat="1" ht="21">
      <c r="A36" s="431" t="s">
        <v>16</v>
      </c>
      <c r="B36" s="432" t="s">
        <v>80</v>
      </c>
      <c r="C36" s="537" t="s">
        <v>82</v>
      </c>
      <c r="D36" s="538"/>
      <c r="E36" s="537" t="s">
        <v>85</v>
      </c>
      <c r="F36" s="538"/>
      <c r="G36" s="537" t="s">
        <v>86</v>
      </c>
      <c r="H36" s="538"/>
      <c r="I36" s="537" t="s">
        <v>87</v>
      </c>
      <c r="J36" s="539"/>
      <c r="K36" s="537" t="s">
        <v>91</v>
      </c>
      <c r="L36" s="538"/>
      <c r="M36" s="432" t="s">
        <v>92</v>
      </c>
      <c r="N36" s="433" t="s">
        <v>95</v>
      </c>
      <c r="O36" s="434" t="s">
        <v>96</v>
      </c>
      <c r="P36" s="434" t="s">
        <v>99</v>
      </c>
      <c r="Q36" s="435" t="s">
        <v>17</v>
      </c>
    </row>
    <row r="37" spans="1:17" s="436" customFormat="1" ht="21.75" thickBot="1">
      <c r="A37" s="437" t="s">
        <v>18</v>
      </c>
      <c r="B37" s="438" t="s">
        <v>81</v>
      </c>
      <c r="C37" s="439" t="s">
        <v>83</v>
      </c>
      <c r="D37" s="440" t="s">
        <v>84</v>
      </c>
      <c r="E37" s="438" t="s">
        <v>76</v>
      </c>
      <c r="F37" s="438" t="s">
        <v>77</v>
      </c>
      <c r="G37" s="438" t="s">
        <v>78</v>
      </c>
      <c r="H37" s="438" t="s">
        <v>79</v>
      </c>
      <c r="I37" s="440" t="s">
        <v>88</v>
      </c>
      <c r="J37" s="441" t="s">
        <v>89</v>
      </c>
      <c r="K37" s="439" t="s">
        <v>110</v>
      </c>
      <c r="L37" s="439" t="s">
        <v>109</v>
      </c>
      <c r="M37" s="439" t="s">
        <v>93</v>
      </c>
      <c r="N37" s="442" t="s">
        <v>94</v>
      </c>
      <c r="O37" s="443" t="s">
        <v>97</v>
      </c>
      <c r="P37" s="443" t="s">
        <v>98</v>
      </c>
      <c r="Q37" s="444"/>
    </row>
    <row r="38" spans="1:17" ht="21.75">
      <c r="A38" s="343" t="s">
        <v>272</v>
      </c>
      <c r="B38" s="39"/>
      <c r="C38" s="338"/>
      <c r="D38" s="339"/>
      <c r="E38" s="39"/>
      <c r="F38" s="39"/>
      <c r="G38" s="39"/>
      <c r="H38" s="39"/>
      <c r="I38" s="39"/>
      <c r="J38" s="39"/>
      <c r="K38" s="339"/>
      <c r="L38" s="339"/>
      <c r="M38" s="39"/>
      <c r="N38" s="338"/>
      <c r="O38" s="39"/>
      <c r="P38" s="39"/>
      <c r="Q38" s="39"/>
    </row>
    <row r="39" spans="1:17" ht="21.75">
      <c r="A39" s="340">
        <v>340100</v>
      </c>
      <c r="B39" s="338">
        <v>0</v>
      </c>
      <c r="C39" s="338">
        <v>0</v>
      </c>
      <c r="D39" s="338">
        <v>0</v>
      </c>
      <c r="E39" s="338">
        <v>0</v>
      </c>
      <c r="F39" s="338">
        <v>0</v>
      </c>
      <c r="G39" s="338">
        <v>0</v>
      </c>
      <c r="H39" s="338">
        <v>0</v>
      </c>
      <c r="I39" s="338">
        <v>0</v>
      </c>
      <c r="J39" s="338">
        <v>0</v>
      </c>
      <c r="K39" s="338">
        <v>0</v>
      </c>
      <c r="L39" s="338">
        <v>0</v>
      </c>
      <c r="M39" s="338">
        <v>0</v>
      </c>
      <c r="N39" s="338">
        <v>0</v>
      </c>
      <c r="O39" s="338">
        <v>0</v>
      </c>
      <c r="P39" s="338">
        <v>0</v>
      </c>
      <c r="Q39" s="39">
        <f>SUM(B39:P39)</f>
        <v>0</v>
      </c>
    </row>
    <row r="40" spans="1:17" ht="21.75">
      <c r="A40" s="340" t="s">
        <v>19</v>
      </c>
      <c r="B40" s="39">
        <f aca="true" t="shared" si="6" ref="B40:K40">SUM(B39:B39)</f>
        <v>0</v>
      </c>
      <c r="C40" s="39">
        <f t="shared" si="6"/>
        <v>0</v>
      </c>
      <c r="D40" s="39">
        <f t="shared" si="6"/>
        <v>0</v>
      </c>
      <c r="E40" s="39">
        <f t="shared" si="6"/>
        <v>0</v>
      </c>
      <c r="F40" s="39">
        <f t="shared" si="6"/>
        <v>0</v>
      </c>
      <c r="G40" s="39">
        <f t="shared" si="6"/>
        <v>0</v>
      </c>
      <c r="H40" s="39">
        <f t="shared" si="6"/>
        <v>0</v>
      </c>
      <c r="I40" s="39">
        <f t="shared" si="6"/>
        <v>0</v>
      </c>
      <c r="J40" s="39">
        <f t="shared" si="6"/>
        <v>0</v>
      </c>
      <c r="K40" s="39">
        <f t="shared" si="6"/>
        <v>0</v>
      </c>
      <c r="L40" s="39">
        <v>0</v>
      </c>
      <c r="M40" s="39">
        <f>SUM(M39:M39)</f>
        <v>0</v>
      </c>
      <c r="N40" s="39">
        <f>SUM(N39:N39)</f>
        <v>0</v>
      </c>
      <c r="O40" s="39">
        <f>SUM(O39:O39)</f>
        <v>0</v>
      </c>
      <c r="P40" s="39">
        <f>SUM(P39:P39)</f>
        <v>0</v>
      </c>
      <c r="Q40" s="39">
        <f>SUM(B40:P40)</f>
        <v>0</v>
      </c>
    </row>
    <row r="41" spans="1:17" s="38" customFormat="1" ht="21.75">
      <c r="A41" s="341" t="s">
        <v>20</v>
      </c>
      <c r="B41" s="342">
        <f>0</f>
        <v>0</v>
      </c>
      <c r="C41" s="342">
        <v>0</v>
      </c>
      <c r="D41" s="342">
        <f>0</f>
        <v>0</v>
      </c>
      <c r="E41" s="342">
        <f>0</f>
        <v>0</v>
      </c>
      <c r="F41" s="342">
        <f>0</f>
        <v>0</v>
      </c>
      <c r="G41" s="342">
        <f>0</f>
        <v>0</v>
      </c>
      <c r="H41" s="342">
        <f>0</f>
        <v>0</v>
      </c>
      <c r="I41" s="342">
        <f>0</f>
        <v>0</v>
      </c>
      <c r="J41" s="342">
        <f>0</f>
        <v>0</v>
      </c>
      <c r="K41" s="342">
        <f>0</f>
        <v>0</v>
      </c>
      <c r="L41" s="342">
        <v>0</v>
      </c>
      <c r="M41" s="342">
        <v>0</v>
      </c>
      <c r="N41" s="342">
        <f>0</f>
        <v>0</v>
      </c>
      <c r="O41" s="342">
        <f>0</f>
        <v>0</v>
      </c>
      <c r="P41" s="342">
        <f>0</f>
        <v>0</v>
      </c>
      <c r="Q41" s="40">
        <f>SUM(B41:P41)</f>
        <v>0</v>
      </c>
    </row>
    <row r="42" spans="1:17" ht="21.75">
      <c r="A42" s="343" t="s">
        <v>262</v>
      </c>
      <c r="B42" s="39"/>
      <c r="C42" s="338"/>
      <c r="D42" s="339"/>
      <c r="E42" s="39"/>
      <c r="F42" s="39"/>
      <c r="G42" s="39"/>
      <c r="H42" s="39"/>
      <c r="I42" s="39"/>
      <c r="J42" s="39"/>
      <c r="K42" s="339"/>
      <c r="L42" s="339"/>
      <c r="M42" s="39"/>
      <c r="N42" s="338"/>
      <c r="O42" s="39"/>
      <c r="P42" s="39"/>
      <c r="Q42" s="39"/>
    </row>
    <row r="43" spans="1:17" ht="21.75">
      <c r="A43" s="340">
        <v>410100</v>
      </c>
      <c r="B43" s="338">
        <v>0</v>
      </c>
      <c r="C43" s="338">
        <v>0</v>
      </c>
      <c r="D43" s="338">
        <v>0</v>
      </c>
      <c r="E43" s="338">
        <v>0</v>
      </c>
      <c r="F43" s="338">
        <v>0</v>
      </c>
      <c r="G43" s="338">
        <v>0</v>
      </c>
      <c r="H43" s="338">
        <v>0</v>
      </c>
      <c r="I43" s="338">
        <v>0</v>
      </c>
      <c r="J43" s="338">
        <v>0</v>
      </c>
      <c r="K43" s="338">
        <v>0</v>
      </c>
      <c r="L43" s="338">
        <v>0</v>
      </c>
      <c r="M43" s="338">
        <v>0</v>
      </c>
      <c r="N43" s="338">
        <v>0</v>
      </c>
      <c r="O43" s="338">
        <v>0</v>
      </c>
      <c r="P43" s="338">
        <v>0</v>
      </c>
      <c r="Q43" s="39">
        <f>SUM(B43:P43)</f>
        <v>0</v>
      </c>
    </row>
    <row r="44" spans="1:17" ht="21.75">
      <c r="A44" s="340" t="s">
        <v>19</v>
      </c>
      <c r="B44" s="39">
        <f aca="true" t="shared" si="7" ref="B44:P44">SUM(B43)</f>
        <v>0</v>
      </c>
      <c r="C44" s="39">
        <f t="shared" si="7"/>
        <v>0</v>
      </c>
      <c r="D44" s="39">
        <f t="shared" si="7"/>
        <v>0</v>
      </c>
      <c r="E44" s="39">
        <f t="shared" si="7"/>
        <v>0</v>
      </c>
      <c r="F44" s="39">
        <f t="shared" si="7"/>
        <v>0</v>
      </c>
      <c r="G44" s="39">
        <f t="shared" si="7"/>
        <v>0</v>
      </c>
      <c r="H44" s="39">
        <f t="shared" si="7"/>
        <v>0</v>
      </c>
      <c r="I44" s="39">
        <f t="shared" si="7"/>
        <v>0</v>
      </c>
      <c r="J44" s="39">
        <f t="shared" si="7"/>
        <v>0</v>
      </c>
      <c r="K44" s="39">
        <f t="shared" si="7"/>
        <v>0</v>
      </c>
      <c r="L44" s="39">
        <f t="shared" si="7"/>
        <v>0</v>
      </c>
      <c r="M44" s="39">
        <f t="shared" si="7"/>
        <v>0</v>
      </c>
      <c r="N44" s="39">
        <f t="shared" si="7"/>
        <v>0</v>
      </c>
      <c r="O44" s="39">
        <f t="shared" si="7"/>
        <v>0</v>
      </c>
      <c r="P44" s="39">
        <f t="shared" si="7"/>
        <v>0</v>
      </c>
      <c r="Q44" s="39">
        <f>SUM(B44:P44)</f>
        <v>0</v>
      </c>
    </row>
    <row r="45" spans="1:17" s="38" customFormat="1" ht="21.75">
      <c r="A45" s="341" t="s">
        <v>20</v>
      </c>
      <c r="B45" s="342">
        <f>0</f>
        <v>0</v>
      </c>
      <c r="C45" s="342">
        <v>0</v>
      </c>
      <c r="D45" s="342">
        <f>0</f>
        <v>0</v>
      </c>
      <c r="E45" s="342">
        <f>0</f>
        <v>0</v>
      </c>
      <c r="F45" s="342">
        <f>0</f>
        <v>0</v>
      </c>
      <c r="G45" s="342">
        <f>0</f>
        <v>0</v>
      </c>
      <c r="H45" s="342">
        <f>0</f>
        <v>0</v>
      </c>
      <c r="I45" s="342">
        <v>0</v>
      </c>
      <c r="J45" s="342">
        <v>0</v>
      </c>
      <c r="K45" s="342">
        <f>0</f>
        <v>0</v>
      </c>
      <c r="L45" s="342">
        <v>0</v>
      </c>
      <c r="M45" s="342">
        <f>0</f>
        <v>0</v>
      </c>
      <c r="N45" s="342">
        <f>0</f>
        <v>0</v>
      </c>
      <c r="O45" s="342">
        <f>0</f>
        <v>0</v>
      </c>
      <c r="P45" s="342">
        <f>0</f>
        <v>0</v>
      </c>
      <c r="Q45" s="40">
        <f>SUM(B45:P45)</f>
        <v>0</v>
      </c>
    </row>
    <row r="46" spans="1:17" ht="21.75">
      <c r="A46" s="343" t="s">
        <v>263</v>
      </c>
      <c r="B46" s="39"/>
      <c r="C46" s="338"/>
      <c r="D46" s="339"/>
      <c r="E46" s="39"/>
      <c r="F46" s="39"/>
      <c r="G46" s="39"/>
      <c r="H46" s="39"/>
      <c r="I46" s="39"/>
      <c r="J46" s="39"/>
      <c r="K46" s="339"/>
      <c r="L46" s="339"/>
      <c r="M46" s="39"/>
      <c r="N46" s="338"/>
      <c r="O46" s="39"/>
      <c r="P46" s="39"/>
      <c r="Q46" s="39"/>
    </row>
    <row r="47" spans="1:17" ht="21.75">
      <c r="A47" s="354">
        <v>420700</v>
      </c>
      <c r="B47" s="39"/>
      <c r="C47" s="338">
        <v>0</v>
      </c>
      <c r="D47" s="3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39">
        <v>0</v>
      </c>
      <c r="L47" s="339">
        <v>0</v>
      </c>
      <c r="M47" s="39">
        <v>0</v>
      </c>
      <c r="N47" s="338">
        <v>0</v>
      </c>
      <c r="O47" s="39">
        <v>0</v>
      </c>
      <c r="P47" s="39">
        <v>0</v>
      </c>
      <c r="Q47" s="39">
        <f>SUM(B47:P47)</f>
        <v>0</v>
      </c>
    </row>
    <row r="48" spans="1:17" ht="21.75">
      <c r="A48" s="340" t="s">
        <v>19</v>
      </c>
      <c r="B48" s="39">
        <f aca="true" t="shared" si="8" ref="B48:P48">SUM(B47:B47)</f>
        <v>0</v>
      </c>
      <c r="C48" s="39">
        <f t="shared" si="8"/>
        <v>0</v>
      </c>
      <c r="D48" s="39">
        <f t="shared" si="8"/>
        <v>0</v>
      </c>
      <c r="E48" s="39">
        <f t="shared" si="8"/>
        <v>0</v>
      </c>
      <c r="F48" s="39">
        <f t="shared" si="8"/>
        <v>0</v>
      </c>
      <c r="G48" s="39">
        <f t="shared" si="8"/>
        <v>0</v>
      </c>
      <c r="H48" s="39">
        <f t="shared" si="8"/>
        <v>0</v>
      </c>
      <c r="I48" s="39">
        <f t="shared" si="8"/>
        <v>0</v>
      </c>
      <c r="J48" s="39">
        <f t="shared" si="8"/>
        <v>0</v>
      </c>
      <c r="K48" s="39">
        <f t="shared" si="8"/>
        <v>0</v>
      </c>
      <c r="L48" s="39">
        <f t="shared" si="8"/>
        <v>0</v>
      </c>
      <c r="M48" s="39">
        <f t="shared" si="8"/>
        <v>0</v>
      </c>
      <c r="N48" s="39">
        <f t="shared" si="8"/>
        <v>0</v>
      </c>
      <c r="O48" s="39">
        <f t="shared" si="8"/>
        <v>0</v>
      </c>
      <c r="P48" s="39">
        <f t="shared" si="8"/>
        <v>0</v>
      </c>
      <c r="Q48" s="39">
        <f>SUM(B48:P48)</f>
        <v>0</v>
      </c>
    </row>
    <row r="49" spans="1:17" s="38" customFormat="1" ht="21.75">
      <c r="A49" s="341" t="s">
        <v>20</v>
      </c>
      <c r="B49" s="342">
        <f>0</f>
        <v>0</v>
      </c>
      <c r="C49" s="342">
        <v>0</v>
      </c>
      <c r="D49" s="342">
        <v>0</v>
      </c>
      <c r="E49" s="342">
        <f>0</f>
        <v>0</v>
      </c>
      <c r="F49" s="342">
        <f>0</f>
        <v>0</v>
      </c>
      <c r="G49" s="342">
        <f>0</f>
        <v>0</v>
      </c>
      <c r="H49" s="342">
        <f>0</f>
        <v>0</v>
      </c>
      <c r="I49" s="342">
        <f>0</f>
        <v>0</v>
      </c>
      <c r="J49" s="342">
        <f>0</f>
        <v>0</v>
      </c>
      <c r="K49" s="342">
        <f>0</f>
        <v>0</v>
      </c>
      <c r="L49" s="342">
        <v>0</v>
      </c>
      <c r="M49" s="342">
        <f>0</f>
        <v>0</v>
      </c>
      <c r="N49" s="342">
        <f>0</f>
        <v>0</v>
      </c>
      <c r="O49" s="342">
        <f>0</f>
        <v>0</v>
      </c>
      <c r="P49" s="342">
        <f>0</f>
        <v>0</v>
      </c>
      <c r="Q49" s="40">
        <f>SUM(B49:P49)</f>
        <v>0</v>
      </c>
    </row>
    <row r="50" spans="1:17" ht="21.75">
      <c r="A50" s="343" t="s">
        <v>264</v>
      </c>
      <c r="B50" s="39"/>
      <c r="C50" s="338"/>
      <c r="D50" s="339"/>
      <c r="E50" s="39"/>
      <c r="F50" s="39"/>
      <c r="G50" s="39"/>
      <c r="H50" s="39"/>
      <c r="I50" s="39"/>
      <c r="J50" s="39"/>
      <c r="K50" s="339"/>
      <c r="L50" s="339"/>
      <c r="M50" s="39"/>
      <c r="N50" s="338"/>
      <c r="O50" s="39"/>
      <c r="P50" s="39"/>
      <c r="Q50" s="39"/>
    </row>
    <row r="51" spans="1:17" ht="21.75">
      <c r="A51" s="340">
        <v>610100</v>
      </c>
      <c r="B51" s="338">
        <v>0</v>
      </c>
      <c r="C51" s="338">
        <v>0</v>
      </c>
      <c r="D51" s="338">
        <v>0</v>
      </c>
      <c r="E51" s="338">
        <v>0</v>
      </c>
      <c r="F51" s="338">
        <v>0</v>
      </c>
      <c r="G51" s="338">
        <v>0</v>
      </c>
      <c r="H51" s="338">
        <v>0</v>
      </c>
      <c r="I51" s="338">
        <v>0</v>
      </c>
      <c r="J51" s="338">
        <v>0</v>
      </c>
      <c r="K51" s="338">
        <v>0</v>
      </c>
      <c r="L51" s="338">
        <v>0</v>
      </c>
      <c r="M51" s="338">
        <v>0</v>
      </c>
      <c r="N51" s="338">
        <v>0</v>
      </c>
      <c r="O51" s="338">
        <v>0</v>
      </c>
      <c r="P51" s="338">
        <v>0</v>
      </c>
      <c r="Q51" s="39">
        <f>SUM(B51:P51)</f>
        <v>0</v>
      </c>
    </row>
    <row r="52" spans="1:17" ht="21.75">
      <c r="A52" s="340" t="s">
        <v>19</v>
      </c>
      <c r="B52" s="39">
        <f aca="true" t="shared" si="9" ref="B52:P52">SUM(B51:B51)</f>
        <v>0</v>
      </c>
      <c r="C52" s="39">
        <f t="shared" si="9"/>
        <v>0</v>
      </c>
      <c r="D52" s="39">
        <f t="shared" si="9"/>
        <v>0</v>
      </c>
      <c r="E52" s="39">
        <f t="shared" si="9"/>
        <v>0</v>
      </c>
      <c r="F52" s="39">
        <f t="shared" si="9"/>
        <v>0</v>
      </c>
      <c r="G52" s="39">
        <f t="shared" si="9"/>
        <v>0</v>
      </c>
      <c r="H52" s="39">
        <f t="shared" si="9"/>
        <v>0</v>
      </c>
      <c r="I52" s="39">
        <f t="shared" si="9"/>
        <v>0</v>
      </c>
      <c r="J52" s="39">
        <f t="shared" si="9"/>
        <v>0</v>
      </c>
      <c r="K52" s="39">
        <f t="shared" si="9"/>
        <v>0</v>
      </c>
      <c r="L52" s="39">
        <f t="shared" si="9"/>
        <v>0</v>
      </c>
      <c r="M52" s="39">
        <f t="shared" si="9"/>
        <v>0</v>
      </c>
      <c r="N52" s="39">
        <f t="shared" si="9"/>
        <v>0</v>
      </c>
      <c r="O52" s="39">
        <f t="shared" si="9"/>
        <v>0</v>
      </c>
      <c r="P52" s="39">
        <f t="shared" si="9"/>
        <v>0</v>
      </c>
      <c r="Q52" s="39">
        <f>SUM(B52:P52)</f>
        <v>0</v>
      </c>
    </row>
    <row r="53" spans="1:17" s="38" customFormat="1" ht="21.75">
      <c r="A53" s="341" t="s">
        <v>20</v>
      </c>
      <c r="B53" s="342">
        <f>0</f>
        <v>0</v>
      </c>
      <c r="C53" s="342">
        <v>0</v>
      </c>
      <c r="D53" s="342">
        <f>0</f>
        <v>0</v>
      </c>
      <c r="E53" s="342">
        <f>0</f>
        <v>0</v>
      </c>
      <c r="F53" s="342">
        <f>0</f>
        <v>0</v>
      </c>
      <c r="G53" s="342">
        <f>0</f>
        <v>0</v>
      </c>
      <c r="H53" s="342">
        <f>0</f>
        <v>0</v>
      </c>
      <c r="I53" s="342">
        <f>0</f>
        <v>0</v>
      </c>
      <c r="J53" s="342">
        <f>0</f>
        <v>0</v>
      </c>
      <c r="K53" s="342">
        <f>0</f>
        <v>0</v>
      </c>
      <c r="L53" s="342">
        <v>0</v>
      </c>
      <c r="M53" s="342">
        <f>0</f>
        <v>0</v>
      </c>
      <c r="N53" s="342">
        <f>0</f>
        <v>0</v>
      </c>
      <c r="O53" s="342">
        <v>0</v>
      </c>
      <c r="P53" s="342">
        <f>0</f>
        <v>0</v>
      </c>
      <c r="Q53" s="40">
        <f>SUM(B53:P53)</f>
        <v>0</v>
      </c>
    </row>
    <row r="54" spans="1:17" ht="21.75">
      <c r="A54" s="343" t="s">
        <v>265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9"/>
    </row>
    <row r="55" spans="1:17" ht="21.75">
      <c r="A55" s="340">
        <v>510100</v>
      </c>
      <c r="B55" s="338">
        <v>0</v>
      </c>
      <c r="C55" s="338">
        <v>0</v>
      </c>
      <c r="D55" s="338">
        <v>0</v>
      </c>
      <c r="E55" s="338">
        <v>0</v>
      </c>
      <c r="F55" s="338">
        <v>0</v>
      </c>
      <c r="G55" s="338">
        <v>0</v>
      </c>
      <c r="H55" s="338">
        <v>0</v>
      </c>
      <c r="I55" s="338">
        <v>0</v>
      </c>
      <c r="J55" s="338">
        <v>0</v>
      </c>
      <c r="K55" s="338">
        <v>0</v>
      </c>
      <c r="L55" s="338">
        <v>0</v>
      </c>
      <c r="M55" s="338">
        <v>0</v>
      </c>
      <c r="N55" s="338">
        <v>0</v>
      </c>
      <c r="O55" s="338">
        <v>0</v>
      </c>
      <c r="P55" s="338">
        <v>0</v>
      </c>
      <c r="Q55" s="39">
        <f>SUM(B55:P55)</f>
        <v>0</v>
      </c>
    </row>
    <row r="56" spans="1:17" ht="21.75">
      <c r="A56" s="340" t="s">
        <v>19</v>
      </c>
      <c r="B56" s="338">
        <f aca="true" t="shared" si="10" ref="B56:P56">SUM(B55)</f>
        <v>0</v>
      </c>
      <c r="C56" s="338">
        <f t="shared" si="10"/>
        <v>0</v>
      </c>
      <c r="D56" s="338">
        <f t="shared" si="10"/>
        <v>0</v>
      </c>
      <c r="E56" s="338">
        <f t="shared" si="10"/>
        <v>0</v>
      </c>
      <c r="F56" s="338">
        <f t="shared" si="10"/>
        <v>0</v>
      </c>
      <c r="G56" s="338">
        <f t="shared" si="10"/>
        <v>0</v>
      </c>
      <c r="H56" s="338">
        <f t="shared" si="10"/>
        <v>0</v>
      </c>
      <c r="I56" s="338">
        <f t="shared" si="10"/>
        <v>0</v>
      </c>
      <c r="J56" s="338">
        <f t="shared" si="10"/>
        <v>0</v>
      </c>
      <c r="K56" s="338">
        <f t="shared" si="10"/>
        <v>0</v>
      </c>
      <c r="L56" s="338">
        <f t="shared" si="10"/>
        <v>0</v>
      </c>
      <c r="M56" s="338">
        <f t="shared" si="10"/>
        <v>0</v>
      </c>
      <c r="N56" s="338">
        <f t="shared" si="10"/>
        <v>0</v>
      </c>
      <c r="O56" s="338">
        <f t="shared" si="10"/>
        <v>0</v>
      </c>
      <c r="P56" s="338">
        <f t="shared" si="10"/>
        <v>0</v>
      </c>
      <c r="Q56" s="39">
        <f>SUM(B56:P56)</f>
        <v>0</v>
      </c>
    </row>
    <row r="57" spans="1:17" s="38" customFormat="1" ht="21.75">
      <c r="A57" s="341" t="s">
        <v>20</v>
      </c>
      <c r="B57" s="342">
        <f>0</f>
        <v>0</v>
      </c>
      <c r="C57" s="342">
        <f>0</f>
        <v>0</v>
      </c>
      <c r="D57" s="342">
        <f>0</f>
        <v>0</v>
      </c>
      <c r="E57" s="342">
        <f>0</f>
        <v>0</v>
      </c>
      <c r="F57" s="342">
        <v>0</v>
      </c>
      <c r="G57" s="342">
        <f>0</f>
        <v>0</v>
      </c>
      <c r="H57" s="342">
        <f>0</f>
        <v>0</v>
      </c>
      <c r="I57" s="342">
        <f>0</f>
        <v>0</v>
      </c>
      <c r="J57" s="342">
        <v>0</v>
      </c>
      <c r="K57" s="342">
        <f>0</f>
        <v>0</v>
      </c>
      <c r="L57" s="342">
        <v>0</v>
      </c>
      <c r="M57" s="342">
        <f>0</f>
        <v>0</v>
      </c>
      <c r="N57" s="342"/>
      <c r="O57" s="342">
        <f>0</f>
        <v>0</v>
      </c>
      <c r="P57" s="342">
        <f>0</f>
        <v>0</v>
      </c>
      <c r="Q57" s="40">
        <f>SUM(B57:P57)</f>
        <v>0</v>
      </c>
    </row>
    <row r="58" spans="1:17" ht="21.75">
      <c r="A58" s="340" t="s">
        <v>73</v>
      </c>
      <c r="B58" s="39">
        <f aca="true" t="shared" si="11" ref="B58:P58">B8+B12+B16+B20+B25+B29+B40+B44+B48+B52+B56</f>
        <v>0</v>
      </c>
      <c r="C58" s="39">
        <f t="shared" si="11"/>
        <v>0</v>
      </c>
      <c r="D58" s="39">
        <f t="shared" si="11"/>
        <v>0</v>
      </c>
      <c r="E58" s="39">
        <f t="shared" si="11"/>
        <v>0</v>
      </c>
      <c r="F58" s="39">
        <f t="shared" si="11"/>
        <v>0</v>
      </c>
      <c r="G58" s="39">
        <f t="shared" si="11"/>
        <v>0</v>
      </c>
      <c r="H58" s="39">
        <f t="shared" si="11"/>
        <v>0</v>
      </c>
      <c r="I58" s="39">
        <f t="shared" si="11"/>
        <v>15000</v>
      </c>
      <c r="J58" s="39">
        <f t="shared" si="11"/>
        <v>0</v>
      </c>
      <c r="K58" s="39">
        <f t="shared" si="11"/>
        <v>32163</v>
      </c>
      <c r="L58" s="39">
        <f t="shared" si="11"/>
        <v>0</v>
      </c>
      <c r="M58" s="39">
        <f t="shared" si="11"/>
        <v>0</v>
      </c>
      <c r="N58" s="39">
        <f t="shared" si="11"/>
        <v>0</v>
      </c>
      <c r="O58" s="39">
        <f t="shared" si="11"/>
        <v>0</v>
      </c>
      <c r="P58" s="39">
        <f t="shared" si="11"/>
        <v>0</v>
      </c>
      <c r="Q58" s="39">
        <f>SUM(B58:P58)</f>
        <v>47163</v>
      </c>
    </row>
    <row r="59" spans="1:17" s="38" customFormat="1" ht="21.75">
      <c r="A59" s="341" t="s">
        <v>104</v>
      </c>
      <c r="B59" s="40">
        <f aca="true" t="shared" si="12" ref="B59:P59">B9+B13+B17+B21+B26+B30+B41+B45+B49+B53+B57</f>
        <v>0</v>
      </c>
      <c r="C59" s="40">
        <f t="shared" si="12"/>
        <v>0</v>
      </c>
      <c r="D59" s="40">
        <f t="shared" si="12"/>
        <v>0</v>
      </c>
      <c r="E59" s="40">
        <f t="shared" si="12"/>
        <v>0</v>
      </c>
      <c r="F59" s="40">
        <f t="shared" si="12"/>
        <v>0</v>
      </c>
      <c r="G59" s="40">
        <f t="shared" si="12"/>
        <v>0</v>
      </c>
      <c r="H59" s="40">
        <f t="shared" si="12"/>
        <v>0</v>
      </c>
      <c r="I59" s="40">
        <f t="shared" si="12"/>
        <v>15000</v>
      </c>
      <c r="J59" s="40">
        <f t="shared" si="12"/>
        <v>0</v>
      </c>
      <c r="K59" s="40">
        <f t="shared" si="12"/>
        <v>80407.5</v>
      </c>
      <c r="L59" s="40">
        <f t="shared" si="12"/>
        <v>0</v>
      </c>
      <c r="M59" s="40">
        <f t="shared" si="12"/>
        <v>0</v>
      </c>
      <c r="N59" s="40">
        <f t="shared" si="12"/>
        <v>0</v>
      </c>
      <c r="O59" s="40">
        <f t="shared" si="12"/>
        <v>0</v>
      </c>
      <c r="P59" s="40">
        <f t="shared" si="12"/>
        <v>0</v>
      </c>
      <c r="Q59" s="40">
        <f>SUM(B59:P59)</f>
        <v>95407.5</v>
      </c>
    </row>
    <row r="60" spans="1:17" s="38" customFormat="1" ht="21.75">
      <c r="A60" s="355"/>
      <c r="B60" s="356"/>
      <c r="C60" s="356"/>
      <c r="D60" s="540" t="s">
        <v>7</v>
      </c>
      <c r="E60" s="540"/>
      <c r="F60" s="540"/>
      <c r="G60" s="540"/>
      <c r="H60" s="87"/>
      <c r="I60" s="87"/>
      <c r="J60" s="87"/>
      <c r="K60" s="540" t="s">
        <v>101</v>
      </c>
      <c r="L60" s="540"/>
      <c r="M60" s="540"/>
      <c r="N60" s="356"/>
      <c r="O60" s="356"/>
      <c r="P60" s="356"/>
      <c r="Q60" s="357"/>
    </row>
    <row r="61" spans="1:17" s="38" customFormat="1" ht="21.75">
      <c r="A61" s="53"/>
      <c r="B61" s="54"/>
      <c r="C61" s="54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54"/>
      <c r="O61" s="54"/>
      <c r="P61" s="54"/>
      <c r="Q61" s="86"/>
    </row>
    <row r="62" spans="1:17" s="88" customFormat="1" ht="21.75">
      <c r="A62" s="53"/>
      <c r="B62" s="54"/>
      <c r="C62" s="54"/>
      <c r="D62" s="541" t="s">
        <v>119</v>
      </c>
      <c r="E62" s="541"/>
      <c r="F62" s="541"/>
      <c r="G62" s="541"/>
      <c r="H62" s="87"/>
      <c r="I62" s="87"/>
      <c r="J62" s="87"/>
      <c r="K62" s="541" t="s">
        <v>102</v>
      </c>
      <c r="L62" s="541"/>
      <c r="M62" s="541"/>
      <c r="N62" s="54"/>
      <c r="O62" s="54"/>
      <c r="P62" s="54"/>
      <c r="Q62" s="86"/>
    </row>
    <row r="63" spans="1:17" ht="21.75">
      <c r="A63" s="56"/>
      <c r="B63" s="34"/>
      <c r="C63" s="34"/>
      <c r="D63" s="541" t="s">
        <v>111</v>
      </c>
      <c r="E63" s="541"/>
      <c r="F63" s="541"/>
      <c r="G63" s="541"/>
      <c r="H63" s="87"/>
      <c r="I63" s="87"/>
      <c r="J63" s="87"/>
      <c r="K63" s="541" t="s">
        <v>100</v>
      </c>
      <c r="L63" s="541"/>
      <c r="M63" s="541"/>
      <c r="N63" s="34"/>
      <c r="O63" s="34"/>
      <c r="P63" s="34"/>
      <c r="Q63" s="35"/>
    </row>
  </sheetData>
  <mergeCells count="26">
    <mergeCell ref="D31:G31"/>
    <mergeCell ref="K33:M33"/>
    <mergeCell ref="D60:G60"/>
    <mergeCell ref="K62:M62"/>
    <mergeCell ref="D62:G62"/>
    <mergeCell ref="K34:M34"/>
    <mergeCell ref="D63:G63"/>
    <mergeCell ref="D33:G33"/>
    <mergeCell ref="D34:G34"/>
    <mergeCell ref="K63:M63"/>
    <mergeCell ref="K60:M60"/>
    <mergeCell ref="E36:F36"/>
    <mergeCell ref="C36:D36"/>
    <mergeCell ref="I36:J36"/>
    <mergeCell ref="G36:H36"/>
    <mergeCell ref="K36:L36"/>
    <mergeCell ref="A1:Q1"/>
    <mergeCell ref="A2:Q2"/>
    <mergeCell ref="A3:Q3"/>
    <mergeCell ref="A35:Q35"/>
    <mergeCell ref="G4:H4"/>
    <mergeCell ref="I4:J4"/>
    <mergeCell ref="K31:M31"/>
    <mergeCell ref="K4:L4"/>
    <mergeCell ref="C4:D4"/>
    <mergeCell ref="E4:F4"/>
  </mergeCells>
  <printOptions/>
  <pageMargins left="0.7480314960629921" right="0.31496062992125984" top="0" bottom="0" header="0.5511811023622047" footer="0.5118110236220472"/>
  <pageSetup horizontalDpi="180" verticalDpi="18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Normal="90" zoomScaleSheetLayoutView="100" workbookViewId="0" topLeftCell="A1">
      <selection activeCell="H19" sqref="H19"/>
    </sheetView>
  </sheetViews>
  <sheetFormatPr defaultColWidth="9.140625" defaultRowHeight="21.75"/>
  <cols>
    <col min="1" max="1" width="16.8515625" style="165" customWidth="1"/>
    <col min="2" max="3" width="10.28125" style="165" bestFit="1" customWidth="1"/>
    <col min="4" max="4" width="6.00390625" style="165" bestFit="1" customWidth="1"/>
    <col min="5" max="5" width="11.28125" style="165" bestFit="1" customWidth="1"/>
    <col min="6" max="6" width="11.421875" style="165" bestFit="1" customWidth="1"/>
    <col min="7" max="7" width="8.7109375" style="165" customWidth="1"/>
    <col min="8" max="8" width="9.7109375" style="165" customWidth="1"/>
    <col min="9" max="9" width="11.421875" style="165" bestFit="1" customWidth="1"/>
    <col min="10" max="10" width="13.00390625" style="165" bestFit="1" customWidth="1"/>
    <col min="11" max="11" width="8.00390625" style="165" customWidth="1"/>
    <col min="12" max="12" width="9.28125" style="165" customWidth="1"/>
    <col min="13" max="13" width="9.28125" style="165" bestFit="1" customWidth="1"/>
    <col min="14" max="14" width="11.7109375" style="165" customWidth="1"/>
    <col min="15" max="15" width="6.00390625" style="165" bestFit="1" customWidth="1"/>
    <col min="16" max="16" width="12.8515625" style="165" bestFit="1" customWidth="1"/>
    <col min="17" max="16384" width="9.140625" style="165" customWidth="1"/>
  </cols>
  <sheetData>
    <row r="1" spans="1:16" ht="21" customHeight="1">
      <c r="A1" s="525" t="s">
        <v>14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</row>
    <row r="2" spans="1:16" ht="23.25" customHeight="1">
      <c r="A2" s="525" t="s">
        <v>108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</row>
    <row r="3" spans="1:16" ht="21.75" customHeight="1" thickBot="1">
      <c r="A3" s="526" t="s">
        <v>255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</row>
    <row r="4" spans="1:16" s="311" customFormat="1" ht="21.75">
      <c r="A4" s="41" t="s">
        <v>16</v>
      </c>
      <c r="B4" s="543" t="s">
        <v>82</v>
      </c>
      <c r="C4" s="544"/>
      <c r="D4" s="543" t="s">
        <v>85</v>
      </c>
      <c r="E4" s="544"/>
      <c r="F4" s="42" t="s">
        <v>91</v>
      </c>
      <c r="G4" s="42" t="s">
        <v>92</v>
      </c>
      <c r="H4" s="43" t="s">
        <v>95</v>
      </c>
      <c r="I4" s="543" t="s">
        <v>86</v>
      </c>
      <c r="J4" s="544"/>
      <c r="K4" s="44" t="s">
        <v>96</v>
      </c>
      <c r="L4" s="543" t="s">
        <v>87</v>
      </c>
      <c r="M4" s="545"/>
      <c r="N4" s="44" t="s">
        <v>99</v>
      </c>
      <c r="O4" s="42" t="s">
        <v>80</v>
      </c>
      <c r="P4" s="51" t="s">
        <v>17</v>
      </c>
    </row>
    <row r="5" spans="1:16" s="311" customFormat="1" ht="22.5" thickBot="1">
      <c r="A5" s="45" t="s">
        <v>18</v>
      </c>
      <c r="B5" s="47" t="s">
        <v>83</v>
      </c>
      <c r="C5" s="48" t="s">
        <v>84</v>
      </c>
      <c r="D5" s="46" t="s">
        <v>76</v>
      </c>
      <c r="E5" s="46" t="s">
        <v>77</v>
      </c>
      <c r="F5" s="47" t="s">
        <v>90</v>
      </c>
      <c r="G5" s="47" t="s">
        <v>93</v>
      </c>
      <c r="H5" s="49" t="s">
        <v>94</v>
      </c>
      <c r="I5" s="46" t="s">
        <v>78</v>
      </c>
      <c r="J5" s="46" t="s">
        <v>79</v>
      </c>
      <c r="K5" s="50" t="s">
        <v>97</v>
      </c>
      <c r="L5" s="48" t="s">
        <v>88</v>
      </c>
      <c r="M5" s="37" t="s">
        <v>89</v>
      </c>
      <c r="N5" s="50" t="s">
        <v>98</v>
      </c>
      <c r="O5" s="46" t="s">
        <v>81</v>
      </c>
      <c r="P5" s="306"/>
    </row>
    <row r="6" spans="1:16" ht="21.75">
      <c r="A6" s="52" t="s">
        <v>232</v>
      </c>
      <c r="B6" s="25"/>
      <c r="C6" s="26"/>
      <c r="D6" s="25"/>
      <c r="E6" s="25"/>
      <c r="F6" s="26"/>
      <c r="G6" s="26"/>
      <c r="H6" s="27"/>
      <c r="I6" s="25"/>
      <c r="J6" s="25"/>
      <c r="K6" s="297"/>
      <c r="L6" s="25"/>
      <c r="M6" s="27"/>
      <c r="N6" s="297"/>
      <c r="O6" s="25"/>
      <c r="P6" s="297"/>
    </row>
    <row r="7" spans="1:16" ht="21.75">
      <c r="A7" s="298" t="s">
        <v>153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9">
        <f>SUM(B7:O7)</f>
        <v>0</v>
      </c>
    </row>
    <row r="8" spans="1:16" ht="21.75">
      <c r="A8" s="19" t="s">
        <v>19</v>
      </c>
      <c r="B8" s="28">
        <f aca="true" t="shared" si="0" ref="B8:O8">SUM(B7:B7)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99">
        <f>SUM(B8:O8)</f>
        <v>0</v>
      </c>
    </row>
    <row r="9" spans="1:16" ht="21.75">
      <c r="A9" s="19" t="s">
        <v>20</v>
      </c>
      <c r="B9" s="28">
        <f>0</f>
        <v>0</v>
      </c>
      <c r="C9" s="28">
        <f>0</f>
        <v>0</v>
      </c>
      <c r="D9" s="28">
        <f>0</f>
        <v>0</v>
      </c>
      <c r="E9" s="28">
        <f>0</f>
        <v>0</v>
      </c>
      <c r="F9" s="28">
        <f>0</f>
        <v>0</v>
      </c>
      <c r="G9" s="28">
        <f>0</f>
        <v>0</v>
      </c>
      <c r="H9" s="28">
        <f>0</f>
        <v>0</v>
      </c>
      <c r="I9" s="28">
        <f>0</f>
        <v>0</v>
      </c>
      <c r="J9" s="28">
        <f>0</f>
        <v>0</v>
      </c>
      <c r="K9" s="28">
        <f>0</f>
        <v>0</v>
      </c>
      <c r="L9" s="28">
        <f>0</f>
        <v>0</v>
      </c>
      <c r="M9" s="28">
        <f>0</f>
        <v>0</v>
      </c>
      <c r="N9" s="28">
        <f>0</f>
        <v>0</v>
      </c>
      <c r="O9" s="28">
        <v>0</v>
      </c>
      <c r="P9" s="299">
        <f>SUM(B9:O9)</f>
        <v>0</v>
      </c>
    </row>
    <row r="10" spans="1:16" ht="21.75">
      <c r="A10" s="20">
        <v>521000</v>
      </c>
      <c r="B10" s="29"/>
      <c r="C10" s="30"/>
      <c r="D10" s="29"/>
      <c r="E10" s="29"/>
      <c r="F10" s="30"/>
      <c r="G10" s="30"/>
      <c r="H10" s="29"/>
      <c r="I10" s="29"/>
      <c r="J10" s="29"/>
      <c r="K10" s="299"/>
      <c r="L10" s="29"/>
      <c r="M10" s="29"/>
      <c r="N10" s="299"/>
      <c r="O10" s="28"/>
      <c r="P10" s="299"/>
    </row>
    <row r="11" spans="1:16" ht="21.75">
      <c r="A11" s="300">
        <v>210100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99">
        <f>SUM(B11:O11)</f>
        <v>0</v>
      </c>
    </row>
    <row r="12" spans="1:16" ht="21.75">
      <c r="A12" s="19" t="s">
        <v>19</v>
      </c>
      <c r="B12" s="28">
        <f aca="true" t="shared" si="1" ref="B12:O12">SUM(B11:B11)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99">
        <f>SUM(B12:O12)</f>
        <v>0</v>
      </c>
    </row>
    <row r="13" spans="1:16" ht="21.75">
      <c r="A13" s="19" t="s">
        <v>20</v>
      </c>
      <c r="B13" s="28">
        <v>0</v>
      </c>
      <c r="C13" s="28">
        <v>0</v>
      </c>
      <c r="D13" s="28">
        <f>0</f>
        <v>0</v>
      </c>
      <c r="E13" s="28">
        <f>0</f>
        <v>0</v>
      </c>
      <c r="F13" s="28">
        <f>0</f>
        <v>0</v>
      </c>
      <c r="G13" s="28">
        <f>0</f>
        <v>0</v>
      </c>
      <c r="H13" s="28">
        <f>0</f>
        <v>0</v>
      </c>
      <c r="I13" s="28">
        <v>0</v>
      </c>
      <c r="J13" s="28">
        <f>0</f>
        <v>0</v>
      </c>
      <c r="K13" s="28">
        <f>0</f>
        <v>0</v>
      </c>
      <c r="L13" s="28">
        <f>0</f>
        <v>0</v>
      </c>
      <c r="M13" s="28">
        <f>0</f>
        <v>0</v>
      </c>
      <c r="N13" s="28">
        <f>0</f>
        <v>0</v>
      </c>
      <c r="O13" s="28">
        <f>0</f>
        <v>0</v>
      </c>
      <c r="P13" s="299">
        <f>SUM(B13:O13)</f>
        <v>0</v>
      </c>
    </row>
    <row r="14" spans="1:16" ht="21.75">
      <c r="A14" s="20">
        <v>522000</v>
      </c>
      <c r="B14" s="28"/>
      <c r="C14" s="31"/>
      <c r="D14" s="29"/>
      <c r="E14" s="29"/>
      <c r="F14" s="30"/>
      <c r="G14" s="30"/>
      <c r="H14" s="29"/>
      <c r="I14" s="29"/>
      <c r="J14" s="28"/>
      <c r="K14" s="299"/>
      <c r="L14" s="29"/>
      <c r="M14" s="29"/>
      <c r="N14" s="299"/>
      <c r="O14" s="28"/>
      <c r="P14" s="299"/>
    </row>
    <row r="15" spans="1:16" ht="21.75">
      <c r="A15" s="300">
        <v>220100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99">
        <f>SUM(B15:O15)</f>
        <v>0</v>
      </c>
    </row>
    <row r="16" spans="1:16" ht="21.75">
      <c r="A16" s="19" t="s">
        <v>19</v>
      </c>
      <c r="B16" s="28">
        <f aca="true" t="shared" si="2" ref="B16:O16">B15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99">
        <f>SUM(B16:O16)</f>
        <v>0</v>
      </c>
    </row>
    <row r="17" spans="1:16" ht="21.75">
      <c r="A17" s="19" t="s">
        <v>20</v>
      </c>
      <c r="B17" s="28">
        <v>0</v>
      </c>
      <c r="C17" s="28">
        <v>0</v>
      </c>
      <c r="D17" s="28">
        <f>0</f>
        <v>0</v>
      </c>
      <c r="E17" s="28">
        <f>0</f>
        <v>0</v>
      </c>
      <c r="F17" s="28">
        <f>0</f>
        <v>0</v>
      </c>
      <c r="G17" s="28">
        <f>0</f>
        <v>0</v>
      </c>
      <c r="H17" s="28">
        <f>0</f>
        <v>0</v>
      </c>
      <c r="I17" s="28">
        <f>0</f>
        <v>0</v>
      </c>
      <c r="J17" s="28">
        <f>0</f>
        <v>0</v>
      </c>
      <c r="K17" s="28">
        <f>0</f>
        <v>0</v>
      </c>
      <c r="L17" s="28">
        <f>0</f>
        <v>0</v>
      </c>
      <c r="M17" s="307">
        <f>0</f>
        <v>0</v>
      </c>
      <c r="N17" s="28">
        <f>0</f>
        <v>0</v>
      </c>
      <c r="O17" s="28">
        <f>0</f>
        <v>0</v>
      </c>
      <c r="P17" s="299">
        <f>SUM(B17:O17)</f>
        <v>0</v>
      </c>
    </row>
    <row r="18" spans="1:16" ht="21.75">
      <c r="A18" s="21">
        <v>531000</v>
      </c>
      <c r="B18" s="32"/>
      <c r="C18" s="33"/>
      <c r="D18" s="25"/>
      <c r="E18" s="25"/>
      <c r="F18" s="26"/>
      <c r="G18" s="26"/>
      <c r="H18" s="25"/>
      <c r="I18" s="25"/>
      <c r="J18" s="32"/>
      <c r="K18" s="299"/>
      <c r="L18" s="25"/>
      <c r="M18" s="29"/>
      <c r="N18" s="299"/>
      <c r="O18" s="32"/>
      <c r="P18" s="299"/>
    </row>
    <row r="19" spans="1:16" ht="21.75">
      <c r="A19" s="300">
        <v>310100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99">
        <f>SUM(B19:O19)</f>
        <v>0</v>
      </c>
    </row>
    <row r="20" spans="1:16" ht="21.75">
      <c r="A20" s="19" t="s">
        <v>19</v>
      </c>
      <c r="B20" s="28">
        <f aca="true" t="shared" si="3" ref="B20:O20">SUM(B19:B19)</f>
        <v>0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99">
        <f>SUM(B20:O20)</f>
        <v>0</v>
      </c>
    </row>
    <row r="21" spans="1:16" ht="21.75">
      <c r="A21" s="19" t="s">
        <v>20</v>
      </c>
      <c r="B21" s="28">
        <v>0</v>
      </c>
      <c r="C21" s="28">
        <v>0</v>
      </c>
      <c r="D21" s="28">
        <f>0</f>
        <v>0</v>
      </c>
      <c r="E21" s="28">
        <f>0</f>
        <v>0</v>
      </c>
      <c r="F21" s="28">
        <f>0</f>
        <v>0</v>
      </c>
      <c r="G21" s="28">
        <f>0</f>
        <v>0</v>
      </c>
      <c r="H21" s="28">
        <f>0</f>
        <v>0</v>
      </c>
      <c r="I21" s="28">
        <v>0</v>
      </c>
      <c r="J21" s="28">
        <f>0</f>
        <v>0</v>
      </c>
      <c r="K21" s="28">
        <f>0</f>
        <v>0</v>
      </c>
      <c r="L21" s="28">
        <f>0</f>
        <v>0</v>
      </c>
      <c r="M21" s="28">
        <f>0</f>
        <v>0</v>
      </c>
      <c r="N21" s="28">
        <f>0</f>
        <v>0</v>
      </c>
      <c r="O21" s="28">
        <f>0</f>
        <v>0</v>
      </c>
      <c r="P21" s="299">
        <f>SUM(B21:O21)</f>
        <v>0</v>
      </c>
    </row>
    <row r="22" spans="1:16" ht="21.75">
      <c r="A22" s="20">
        <v>532000</v>
      </c>
      <c r="B22" s="28"/>
      <c r="C22" s="31"/>
      <c r="D22" s="29"/>
      <c r="E22" s="29"/>
      <c r="F22" s="30"/>
      <c r="G22" s="30"/>
      <c r="H22" s="28"/>
      <c r="I22" s="29"/>
      <c r="J22" s="28"/>
      <c r="K22" s="299"/>
      <c r="L22" s="29"/>
      <c r="M22" s="29"/>
      <c r="N22" s="299"/>
      <c r="O22" s="28"/>
      <c r="P22" s="299"/>
    </row>
    <row r="23" spans="1:16" ht="21.75">
      <c r="A23" s="300">
        <v>320100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9">
        <f>SUM(B23:O23)</f>
        <v>0</v>
      </c>
    </row>
    <row r="24" spans="1:16" ht="21.75">
      <c r="A24" s="19" t="s">
        <v>19</v>
      </c>
      <c r="B24" s="28">
        <f aca="true" t="shared" si="4" ref="B24:O24">SUM(B23:B23)</f>
        <v>0</v>
      </c>
      <c r="C24" s="28">
        <f t="shared" si="4"/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28">
        <f t="shared" si="4"/>
        <v>0</v>
      </c>
      <c r="P24" s="299">
        <f>SUM(B24:O24)</f>
        <v>0</v>
      </c>
    </row>
    <row r="25" spans="1:16" ht="21.75">
      <c r="A25" s="312" t="s">
        <v>20</v>
      </c>
      <c r="B25" s="28">
        <v>0</v>
      </c>
      <c r="C25" s="28">
        <f>0</f>
        <v>0</v>
      </c>
      <c r="D25" s="28">
        <f>0</f>
        <v>0</v>
      </c>
      <c r="E25" s="28">
        <f>0</f>
        <v>0</v>
      </c>
      <c r="F25" s="28">
        <f>0</f>
        <v>0</v>
      </c>
      <c r="G25" s="28">
        <f>0</f>
        <v>0</v>
      </c>
      <c r="H25" s="28">
        <f>0</f>
        <v>0</v>
      </c>
      <c r="I25" s="28">
        <v>0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99">
        <f>SUM(B25:O25)</f>
        <v>0</v>
      </c>
    </row>
    <row r="26" spans="1:16" ht="21.75">
      <c r="A26" s="20">
        <v>533000</v>
      </c>
      <c r="B26" s="28"/>
      <c r="C26" s="33"/>
      <c r="D26" s="25"/>
      <c r="E26" s="28"/>
      <c r="F26" s="31"/>
      <c r="G26" s="26"/>
      <c r="H26" s="28"/>
      <c r="I26" s="28"/>
      <c r="J26" s="28"/>
      <c r="K26" s="299"/>
      <c r="L26" s="36"/>
      <c r="M26" s="32"/>
      <c r="N26" s="299"/>
      <c r="O26" s="32"/>
      <c r="P26" s="299"/>
    </row>
    <row r="27" spans="1:16" ht="21.75">
      <c r="A27" s="300">
        <v>331700</v>
      </c>
      <c r="B27" s="28">
        <v>0</v>
      </c>
      <c r="C27" s="28">
        <v>0</v>
      </c>
      <c r="D27" s="28">
        <v>0</v>
      </c>
      <c r="E27" s="28">
        <v>0</v>
      </c>
      <c r="F27" s="28">
        <v>322851.5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9">
        <f>SUM(B27:O27)</f>
        <v>322851.5</v>
      </c>
    </row>
    <row r="28" spans="1:16" ht="21.75">
      <c r="A28" s="19" t="s">
        <v>19</v>
      </c>
      <c r="B28" s="28">
        <f aca="true" t="shared" si="5" ref="B28:N28">SUM(B27)</f>
        <v>0</v>
      </c>
      <c r="C28" s="28">
        <f t="shared" si="5"/>
        <v>0</v>
      </c>
      <c r="D28" s="28">
        <f t="shared" si="5"/>
        <v>0</v>
      </c>
      <c r="E28" s="28">
        <f t="shared" si="5"/>
        <v>0</v>
      </c>
      <c r="F28" s="28">
        <f t="shared" si="5"/>
        <v>322851.5</v>
      </c>
      <c r="G28" s="28">
        <f t="shared" si="5"/>
        <v>0</v>
      </c>
      <c r="H28" s="28">
        <f t="shared" si="5"/>
        <v>0</v>
      </c>
      <c r="I28" s="28">
        <f t="shared" si="5"/>
        <v>0</v>
      </c>
      <c r="J28" s="28">
        <f t="shared" si="5"/>
        <v>0</v>
      </c>
      <c r="K28" s="28">
        <f t="shared" si="5"/>
        <v>0</v>
      </c>
      <c r="L28" s="28">
        <f t="shared" si="5"/>
        <v>0</v>
      </c>
      <c r="M28" s="28">
        <f t="shared" si="5"/>
        <v>0</v>
      </c>
      <c r="N28" s="28">
        <f t="shared" si="5"/>
        <v>0</v>
      </c>
      <c r="O28" s="28">
        <f>SUM(O27)</f>
        <v>0</v>
      </c>
      <c r="P28" s="299">
        <f>SUM(B28:O28)</f>
        <v>322851.5</v>
      </c>
    </row>
    <row r="29" spans="1:16" ht="21.75">
      <c r="A29" s="19" t="s">
        <v>20</v>
      </c>
      <c r="B29" s="28">
        <v>0</v>
      </c>
      <c r="C29" s="28">
        <v>0</v>
      </c>
      <c r="D29" s="28">
        <f>0</f>
        <v>0</v>
      </c>
      <c r="E29" s="28">
        <f>0</f>
        <v>0</v>
      </c>
      <c r="F29" s="28">
        <f>10800+322851.5</f>
        <v>333651.5</v>
      </c>
      <c r="G29" s="28">
        <f>0</f>
        <v>0</v>
      </c>
      <c r="H29" s="28">
        <f>0</f>
        <v>0</v>
      </c>
      <c r="I29" s="28">
        <v>0</v>
      </c>
      <c r="J29" s="28">
        <f>0</f>
        <v>0</v>
      </c>
      <c r="K29" s="28">
        <f>0</f>
        <v>0</v>
      </c>
      <c r="L29" s="28">
        <f>0</f>
        <v>0</v>
      </c>
      <c r="M29" s="28">
        <f>0</f>
        <v>0</v>
      </c>
      <c r="N29" s="28">
        <f>0</f>
        <v>0</v>
      </c>
      <c r="O29" s="28">
        <f>0</f>
        <v>0</v>
      </c>
      <c r="P29" s="299">
        <f>SUM(B29:O29)</f>
        <v>333651.5</v>
      </c>
    </row>
    <row r="30" spans="1:16" ht="21.75">
      <c r="A30" s="201"/>
      <c r="B30" s="34"/>
      <c r="C30" s="34"/>
      <c r="D30" s="34"/>
      <c r="E30" s="546" t="s">
        <v>7</v>
      </c>
      <c r="F30" s="546"/>
      <c r="G30" s="546"/>
      <c r="H30" s="315"/>
      <c r="I30" s="315"/>
      <c r="J30" s="546" t="s">
        <v>101</v>
      </c>
      <c r="K30" s="546"/>
      <c r="L30" s="546"/>
      <c r="M30" s="304"/>
      <c r="N30" s="309"/>
      <c r="O30" s="34"/>
      <c r="P30" s="305"/>
    </row>
    <row r="31" spans="1:16" ht="21.75">
      <c r="A31" s="302"/>
      <c r="B31" s="34"/>
      <c r="C31" s="34"/>
      <c r="D31" s="3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4"/>
      <c r="P31" s="305"/>
    </row>
    <row r="32" spans="1:16" ht="21.75">
      <c r="A32" s="302"/>
      <c r="B32" s="34"/>
      <c r="C32" s="34"/>
      <c r="D32" s="34"/>
      <c r="E32" s="547" t="s">
        <v>119</v>
      </c>
      <c r="F32" s="547"/>
      <c r="G32" s="547"/>
      <c r="H32" s="316"/>
      <c r="I32" s="316"/>
      <c r="J32" s="547" t="s">
        <v>238</v>
      </c>
      <c r="K32" s="547"/>
      <c r="L32" s="547"/>
      <c r="M32" s="304"/>
      <c r="N32" s="303"/>
      <c r="O32" s="34"/>
      <c r="P32" s="305"/>
    </row>
    <row r="33" spans="1:16" ht="21.75">
      <c r="A33" s="302"/>
      <c r="B33" s="34"/>
      <c r="C33" s="34"/>
      <c r="D33" s="34"/>
      <c r="E33" s="547" t="s">
        <v>111</v>
      </c>
      <c r="F33" s="547"/>
      <c r="G33" s="547"/>
      <c r="H33" s="316"/>
      <c r="I33" s="316"/>
      <c r="J33" s="547" t="s">
        <v>100</v>
      </c>
      <c r="K33" s="547"/>
      <c r="L33" s="547"/>
      <c r="M33" s="304"/>
      <c r="N33" s="303"/>
      <c r="O33" s="34"/>
      <c r="P33" s="305"/>
    </row>
    <row r="34" spans="1:16" ht="22.5" thickBot="1">
      <c r="A34" s="542" t="s">
        <v>75</v>
      </c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</row>
    <row r="35" spans="1:16" s="311" customFormat="1" ht="21.75">
      <c r="A35" s="41" t="s">
        <v>16</v>
      </c>
      <c r="B35" s="543" t="s">
        <v>82</v>
      </c>
      <c r="C35" s="544"/>
      <c r="D35" s="543" t="s">
        <v>85</v>
      </c>
      <c r="E35" s="544"/>
      <c r="F35" s="42" t="s">
        <v>91</v>
      </c>
      <c r="G35" s="42" t="s">
        <v>92</v>
      </c>
      <c r="H35" s="43" t="s">
        <v>95</v>
      </c>
      <c r="I35" s="543" t="s">
        <v>86</v>
      </c>
      <c r="J35" s="544"/>
      <c r="K35" s="44" t="s">
        <v>96</v>
      </c>
      <c r="L35" s="543" t="s">
        <v>87</v>
      </c>
      <c r="M35" s="545"/>
      <c r="N35" s="44" t="s">
        <v>99</v>
      </c>
      <c r="O35" s="42" t="s">
        <v>80</v>
      </c>
      <c r="P35" s="51" t="s">
        <v>17</v>
      </c>
    </row>
    <row r="36" spans="1:16" s="311" customFormat="1" ht="22.5" thickBot="1">
      <c r="A36" s="45" t="s">
        <v>18</v>
      </c>
      <c r="B36" s="47" t="s">
        <v>83</v>
      </c>
      <c r="C36" s="48" t="s">
        <v>84</v>
      </c>
      <c r="D36" s="46" t="s">
        <v>76</v>
      </c>
      <c r="E36" s="46" t="s">
        <v>77</v>
      </c>
      <c r="F36" s="47" t="s">
        <v>90</v>
      </c>
      <c r="G36" s="47" t="s">
        <v>93</v>
      </c>
      <c r="H36" s="49" t="s">
        <v>94</v>
      </c>
      <c r="I36" s="46" t="s">
        <v>78</v>
      </c>
      <c r="J36" s="46" t="s">
        <v>79</v>
      </c>
      <c r="K36" s="50" t="s">
        <v>97</v>
      </c>
      <c r="L36" s="48" t="s">
        <v>88</v>
      </c>
      <c r="M36" s="37" t="s">
        <v>89</v>
      </c>
      <c r="N36" s="50" t="s">
        <v>98</v>
      </c>
      <c r="O36" s="46" t="s">
        <v>81</v>
      </c>
      <c r="P36" s="306"/>
    </row>
    <row r="37" spans="1:16" ht="21.75">
      <c r="A37" s="20">
        <v>534000</v>
      </c>
      <c r="B37" s="28"/>
      <c r="C37" s="30"/>
      <c r="D37" s="29"/>
      <c r="E37" s="29"/>
      <c r="F37" s="30"/>
      <c r="G37" s="29"/>
      <c r="H37" s="28"/>
      <c r="I37" s="29"/>
      <c r="J37" s="29"/>
      <c r="K37" s="299"/>
      <c r="L37" s="29"/>
      <c r="M37" s="29"/>
      <c r="N37" s="299"/>
      <c r="O37" s="29"/>
      <c r="P37" s="299"/>
    </row>
    <row r="38" spans="1:16" ht="21.75">
      <c r="A38" s="300">
        <v>340100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99">
        <f>SUM(B38:O38)</f>
        <v>0</v>
      </c>
    </row>
    <row r="39" spans="1:16" ht="21.75">
      <c r="A39" s="19" t="s">
        <v>19</v>
      </c>
      <c r="B39" s="29">
        <f aca="true" t="shared" si="6" ref="B39:O39">SUM(B38:B38)</f>
        <v>0</v>
      </c>
      <c r="C39" s="29">
        <f t="shared" si="6"/>
        <v>0</v>
      </c>
      <c r="D39" s="29">
        <f t="shared" si="6"/>
        <v>0</v>
      </c>
      <c r="E39" s="29">
        <f t="shared" si="6"/>
        <v>0</v>
      </c>
      <c r="F39" s="29">
        <f t="shared" si="6"/>
        <v>0</v>
      </c>
      <c r="G39" s="29">
        <f t="shared" si="6"/>
        <v>0</v>
      </c>
      <c r="H39" s="29">
        <f t="shared" si="6"/>
        <v>0</v>
      </c>
      <c r="I39" s="29">
        <f t="shared" si="6"/>
        <v>0</v>
      </c>
      <c r="J39" s="29">
        <f t="shared" si="6"/>
        <v>0</v>
      </c>
      <c r="K39" s="29">
        <f t="shared" si="6"/>
        <v>0</v>
      </c>
      <c r="L39" s="29">
        <f t="shared" si="6"/>
        <v>0</v>
      </c>
      <c r="M39" s="29">
        <f t="shared" si="6"/>
        <v>0</v>
      </c>
      <c r="N39" s="29">
        <f t="shared" si="6"/>
        <v>0</v>
      </c>
      <c r="O39" s="29">
        <f t="shared" si="6"/>
        <v>0</v>
      </c>
      <c r="P39" s="299">
        <f>SUM(B39:O39)</f>
        <v>0</v>
      </c>
    </row>
    <row r="40" spans="1:16" ht="21.75">
      <c r="A40" s="19" t="s">
        <v>20</v>
      </c>
      <c r="B40" s="28">
        <v>0</v>
      </c>
      <c r="C40" s="28">
        <f>0</f>
        <v>0</v>
      </c>
      <c r="D40" s="28">
        <f>0</f>
        <v>0</v>
      </c>
      <c r="E40" s="28">
        <f>0</f>
        <v>0</v>
      </c>
      <c r="F40" s="28">
        <f>0</f>
        <v>0</v>
      </c>
      <c r="G40" s="28">
        <f>0</f>
        <v>0</v>
      </c>
      <c r="H40" s="28">
        <f>0</f>
        <v>0</v>
      </c>
      <c r="I40" s="28">
        <f>0</f>
        <v>0</v>
      </c>
      <c r="J40" s="28">
        <f>0</f>
        <v>0</v>
      </c>
      <c r="K40" s="28">
        <f>0</f>
        <v>0</v>
      </c>
      <c r="L40" s="28">
        <f>0</f>
        <v>0</v>
      </c>
      <c r="M40" s="28">
        <f>0</f>
        <v>0</v>
      </c>
      <c r="N40" s="28">
        <f>0</f>
        <v>0</v>
      </c>
      <c r="O40" s="28">
        <f>0</f>
        <v>0</v>
      </c>
      <c r="P40" s="299">
        <f>SUM(B40:O40)</f>
        <v>0</v>
      </c>
    </row>
    <row r="41" spans="1:16" ht="21.75">
      <c r="A41" s="20">
        <v>541000</v>
      </c>
      <c r="B41" s="28"/>
      <c r="C41" s="30"/>
      <c r="D41" s="29"/>
      <c r="E41" s="29"/>
      <c r="F41" s="30"/>
      <c r="G41" s="29"/>
      <c r="H41" s="28"/>
      <c r="I41" s="29"/>
      <c r="J41" s="29"/>
      <c r="K41" s="299"/>
      <c r="L41" s="29"/>
      <c r="M41" s="29"/>
      <c r="N41" s="299"/>
      <c r="O41" s="29"/>
      <c r="P41" s="299"/>
    </row>
    <row r="42" spans="1:16" ht="21.75">
      <c r="A42" s="301">
        <v>410100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99">
        <f>SUM(B42:O42)</f>
        <v>0</v>
      </c>
    </row>
    <row r="43" spans="1:16" ht="21.75">
      <c r="A43" s="19" t="s">
        <v>19</v>
      </c>
      <c r="B43" s="29">
        <f aca="true" t="shared" si="7" ref="B43:O43">SUM(B42)</f>
        <v>0</v>
      </c>
      <c r="C43" s="29">
        <f t="shared" si="7"/>
        <v>0</v>
      </c>
      <c r="D43" s="29">
        <f t="shared" si="7"/>
        <v>0</v>
      </c>
      <c r="E43" s="29">
        <f t="shared" si="7"/>
        <v>0</v>
      </c>
      <c r="F43" s="29">
        <f t="shared" si="7"/>
        <v>0</v>
      </c>
      <c r="G43" s="29">
        <f t="shared" si="7"/>
        <v>0</v>
      </c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9">
        <f>SUM(B43:O43)</f>
        <v>0</v>
      </c>
    </row>
    <row r="44" spans="1:16" ht="21.75">
      <c r="A44" s="19" t="s">
        <v>20</v>
      </c>
      <c r="B44" s="307">
        <f>0</f>
        <v>0</v>
      </c>
      <c r="C44" s="307">
        <f>0</f>
        <v>0</v>
      </c>
      <c r="D44" s="307">
        <f>0</f>
        <v>0</v>
      </c>
      <c r="E44" s="307">
        <f>0</f>
        <v>0</v>
      </c>
      <c r="F44" s="28">
        <f>0</f>
        <v>0</v>
      </c>
      <c r="G44" s="28">
        <f>0</f>
        <v>0</v>
      </c>
      <c r="H44" s="307">
        <f>0</f>
        <v>0</v>
      </c>
      <c r="I44" s="307">
        <f>0</f>
        <v>0</v>
      </c>
      <c r="J44" s="307">
        <f>0</f>
        <v>0</v>
      </c>
      <c r="K44" s="307">
        <f>0</f>
        <v>0</v>
      </c>
      <c r="L44" s="307">
        <f>0</f>
        <v>0</v>
      </c>
      <c r="M44" s="28">
        <f>0</f>
        <v>0</v>
      </c>
      <c r="N44" s="307">
        <f>0</f>
        <v>0</v>
      </c>
      <c r="O44" s="307">
        <f>0</f>
        <v>0</v>
      </c>
      <c r="P44" s="299">
        <f>SUM(B44:O44)</f>
        <v>0</v>
      </c>
    </row>
    <row r="45" spans="1:16" ht="21.75">
      <c r="A45" s="20">
        <v>542000</v>
      </c>
      <c r="B45" s="28"/>
      <c r="C45" s="30"/>
      <c r="D45" s="29"/>
      <c r="E45" s="29"/>
      <c r="F45" s="30"/>
      <c r="G45" s="29"/>
      <c r="H45" s="28"/>
      <c r="I45" s="29"/>
      <c r="J45" s="29"/>
      <c r="K45" s="299"/>
      <c r="L45" s="29"/>
      <c r="M45" s="29"/>
      <c r="N45" s="299"/>
      <c r="O45" s="29"/>
      <c r="P45" s="299"/>
    </row>
    <row r="46" spans="1:16" ht="21.75">
      <c r="A46" s="19">
        <v>420900</v>
      </c>
      <c r="B46" s="28">
        <v>0</v>
      </c>
      <c r="C46" s="30">
        <v>0</v>
      </c>
      <c r="D46" s="29">
        <v>0</v>
      </c>
      <c r="E46" s="29">
        <v>0</v>
      </c>
      <c r="F46" s="30">
        <v>0</v>
      </c>
      <c r="G46" s="29">
        <v>0</v>
      </c>
      <c r="H46" s="28">
        <v>0</v>
      </c>
      <c r="I46" s="29">
        <v>0</v>
      </c>
      <c r="J46" s="29">
        <v>0</v>
      </c>
      <c r="K46" s="299">
        <v>0</v>
      </c>
      <c r="L46" s="29">
        <v>0</v>
      </c>
      <c r="M46" s="29">
        <v>0</v>
      </c>
      <c r="N46" s="299">
        <v>0</v>
      </c>
      <c r="O46" s="29"/>
      <c r="P46" s="299">
        <f>SUM(B46:O46)</f>
        <v>0</v>
      </c>
    </row>
    <row r="47" spans="1:16" ht="21.75">
      <c r="A47" s="19">
        <v>421000</v>
      </c>
      <c r="B47" s="28">
        <v>0</v>
      </c>
      <c r="C47" s="30">
        <v>0</v>
      </c>
      <c r="D47" s="29">
        <v>0</v>
      </c>
      <c r="E47" s="29">
        <v>0</v>
      </c>
      <c r="F47" s="30">
        <v>0</v>
      </c>
      <c r="G47" s="29">
        <v>0</v>
      </c>
      <c r="H47" s="28">
        <v>0</v>
      </c>
      <c r="I47" s="29">
        <v>0</v>
      </c>
      <c r="J47" s="29">
        <v>0</v>
      </c>
      <c r="K47" s="299">
        <v>0</v>
      </c>
      <c r="L47" s="29">
        <v>0</v>
      </c>
      <c r="M47" s="29">
        <v>0</v>
      </c>
      <c r="N47" s="299">
        <v>0</v>
      </c>
      <c r="O47" s="29"/>
      <c r="P47" s="299">
        <f>SUM(B47:O47)</f>
        <v>0</v>
      </c>
    </row>
    <row r="48" spans="1:16" ht="21.75">
      <c r="A48" s="19" t="s">
        <v>19</v>
      </c>
      <c r="B48" s="29">
        <f>SUM(B46:B47)</f>
        <v>0</v>
      </c>
      <c r="C48" s="29">
        <f aca="true" t="shared" si="8" ref="C48:O48">SUM(C46:C47)</f>
        <v>0</v>
      </c>
      <c r="D48" s="29">
        <f t="shared" si="8"/>
        <v>0</v>
      </c>
      <c r="E48" s="29">
        <f t="shared" si="8"/>
        <v>0</v>
      </c>
      <c r="F48" s="29">
        <f t="shared" si="8"/>
        <v>0</v>
      </c>
      <c r="G48" s="29">
        <f t="shared" si="8"/>
        <v>0</v>
      </c>
      <c r="H48" s="29">
        <f t="shared" si="8"/>
        <v>0</v>
      </c>
      <c r="I48" s="29">
        <f t="shared" si="8"/>
        <v>0</v>
      </c>
      <c r="J48" s="29">
        <f t="shared" si="8"/>
        <v>0</v>
      </c>
      <c r="K48" s="29">
        <f t="shared" si="8"/>
        <v>0</v>
      </c>
      <c r="L48" s="29">
        <f t="shared" si="8"/>
        <v>0</v>
      </c>
      <c r="M48" s="29">
        <f t="shared" si="8"/>
        <v>0</v>
      </c>
      <c r="N48" s="29">
        <f t="shared" si="8"/>
        <v>0</v>
      </c>
      <c r="O48" s="29">
        <f t="shared" si="8"/>
        <v>0</v>
      </c>
      <c r="P48" s="299">
        <f>SUM(B48:O48)</f>
        <v>0</v>
      </c>
    </row>
    <row r="49" spans="1:16" ht="21.75">
      <c r="A49" s="19" t="s">
        <v>20</v>
      </c>
      <c r="B49" s="28">
        <v>0</v>
      </c>
      <c r="C49" s="28">
        <v>0</v>
      </c>
      <c r="D49" s="28">
        <f>0</f>
        <v>0</v>
      </c>
      <c r="E49" s="28">
        <f>0</f>
        <v>0</v>
      </c>
      <c r="F49" s="28">
        <f>0</f>
        <v>0</v>
      </c>
      <c r="G49" s="28">
        <f>0</f>
        <v>0</v>
      </c>
      <c r="H49" s="28">
        <f>0</f>
        <v>0</v>
      </c>
      <c r="I49" s="28">
        <v>149000</v>
      </c>
      <c r="J49" s="28">
        <v>273038.18</v>
      </c>
      <c r="K49" s="28">
        <f>0</f>
        <v>0</v>
      </c>
      <c r="L49" s="28">
        <f>0</f>
        <v>0</v>
      </c>
      <c r="M49" s="28">
        <f>0</f>
        <v>0</v>
      </c>
      <c r="N49" s="28">
        <v>0</v>
      </c>
      <c r="O49" s="28">
        <f>0</f>
        <v>0</v>
      </c>
      <c r="P49" s="299">
        <f>SUM(B49:O49)</f>
        <v>422038.18</v>
      </c>
    </row>
    <row r="50" spans="1:16" ht="21.75">
      <c r="A50" s="20">
        <v>551000</v>
      </c>
      <c r="B50" s="28"/>
      <c r="C50" s="30"/>
      <c r="D50" s="29"/>
      <c r="E50" s="29"/>
      <c r="F50" s="30"/>
      <c r="G50" s="29"/>
      <c r="H50" s="28"/>
      <c r="I50" s="29"/>
      <c r="J50" s="29"/>
      <c r="K50" s="299"/>
      <c r="L50" s="29"/>
      <c r="M50" s="29"/>
      <c r="N50" s="299"/>
      <c r="O50" s="29"/>
      <c r="P50" s="299"/>
    </row>
    <row r="51" spans="1:16" ht="21.75">
      <c r="A51" s="300">
        <v>510100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99">
        <f>SUM(B51:O51)</f>
        <v>0</v>
      </c>
    </row>
    <row r="52" spans="1:16" ht="21.75">
      <c r="A52" s="19" t="s">
        <v>19</v>
      </c>
      <c r="B52" s="29">
        <f aca="true" t="shared" si="9" ref="B52:O52">SUM(B51:B51)</f>
        <v>0</v>
      </c>
      <c r="C52" s="29">
        <f t="shared" si="9"/>
        <v>0</v>
      </c>
      <c r="D52" s="29">
        <f t="shared" si="9"/>
        <v>0</v>
      </c>
      <c r="E52" s="29">
        <f t="shared" si="9"/>
        <v>0</v>
      </c>
      <c r="F52" s="29">
        <f t="shared" si="9"/>
        <v>0</v>
      </c>
      <c r="G52" s="29">
        <f t="shared" si="9"/>
        <v>0</v>
      </c>
      <c r="H52" s="29">
        <f t="shared" si="9"/>
        <v>0</v>
      </c>
      <c r="I52" s="29">
        <f t="shared" si="9"/>
        <v>0</v>
      </c>
      <c r="J52" s="29">
        <f t="shared" si="9"/>
        <v>0</v>
      </c>
      <c r="K52" s="29">
        <f t="shared" si="9"/>
        <v>0</v>
      </c>
      <c r="L52" s="29">
        <f t="shared" si="9"/>
        <v>0</v>
      </c>
      <c r="M52" s="29">
        <f t="shared" si="9"/>
        <v>0</v>
      </c>
      <c r="N52" s="29">
        <f t="shared" si="9"/>
        <v>0</v>
      </c>
      <c r="O52" s="29">
        <f t="shared" si="9"/>
        <v>0</v>
      </c>
      <c r="P52" s="299">
        <f>SUM(B52:O52)</f>
        <v>0</v>
      </c>
    </row>
    <row r="53" spans="1:16" ht="21.75">
      <c r="A53" s="19" t="s">
        <v>20</v>
      </c>
      <c r="B53" s="28">
        <v>0</v>
      </c>
      <c r="C53" s="28">
        <f>0</f>
        <v>0</v>
      </c>
      <c r="D53" s="28">
        <f>0</f>
        <v>0</v>
      </c>
      <c r="E53" s="28">
        <f>0</f>
        <v>0</v>
      </c>
      <c r="F53" s="28">
        <f>0</f>
        <v>0</v>
      </c>
      <c r="G53" s="28">
        <f>0</f>
        <v>0</v>
      </c>
      <c r="H53" s="28">
        <f>0</f>
        <v>0</v>
      </c>
      <c r="I53" s="28">
        <v>0</v>
      </c>
      <c r="J53" s="28">
        <v>0</v>
      </c>
      <c r="K53" s="28">
        <f>0</f>
        <v>0</v>
      </c>
      <c r="L53" s="28">
        <f>0</f>
        <v>0</v>
      </c>
      <c r="M53" s="28">
        <f>0</f>
        <v>0</v>
      </c>
      <c r="N53" s="28">
        <f>0</f>
        <v>0</v>
      </c>
      <c r="O53" s="28">
        <f>0</f>
        <v>0</v>
      </c>
      <c r="P53" s="299">
        <f>SUM(B53:O53)</f>
        <v>0</v>
      </c>
    </row>
    <row r="54" spans="1:16" ht="21.75">
      <c r="A54" s="20">
        <v>561000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9"/>
    </row>
    <row r="55" spans="1:16" ht="21.75">
      <c r="A55" s="300">
        <v>610100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9">
        <f>SUM(B55:O55)</f>
        <v>0</v>
      </c>
    </row>
    <row r="56" spans="1:16" ht="21.75">
      <c r="A56" s="19" t="s">
        <v>19</v>
      </c>
      <c r="B56" s="28">
        <f aca="true" t="shared" si="10" ref="B56:O56">SUM(B55)</f>
        <v>0</v>
      </c>
      <c r="C56" s="28">
        <f t="shared" si="10"/>
        <v>0</v>
      </c>
      <c r="D56" s="28">
        <f t="shared" si="10"/>
        <v>0</v>
      </c>
      <c r="E56" s="28">
        <f t="shared" si="10"/>
        <v>0</v>
      </c>
      <c r="F56" s="28">
        <f t="shared" si="10"/>
        <v>0</v>
      </c>
      <c r="G56" s="28">
        <f t="shared" si="10"/>
        <v>0</v>
      </c>
      <c r="H56" s="28">
        <f t="shared" si="10"/>
        <v>0</v>
      </c>
      <c r="I56" s="28">
        <f t="shared" si="10"/>
        <v>0</v>
      </c>
      <c r="J56" s="28">
        <f t="shared" si="10"/>
        <v>0</v>
      </c>
      <c r="K56" s="28">
        <f t="shared" si="10"/>
        <v>0</v>
      </c>
      <c r="L56" s="28">
        <f t="shared" si="10"/>
        <v>0</v>
      </c>
      <c r="M56" s="28">
        <f t="shared" si="10"/>
        <v>0</v>
      </c>
      <c r="N56" s="28">
        <f t="shared" si="10"/>
        <v>0</v>
      </c>
      <c r="O56" s="28">
        <f t="shared" si="10"/>
        <v>0</v>
      </c>
      <c r="P56" s="29">
        <f>SUM(B56:O56)</f>
        <v>0</v>
      </c>
    </row>
    <row r="57" spans="1:16" ht="21.75">
      <c r="A57" s="19" t="s">
        <v>20</v>
      </c>
      <c r="B57" s="28">
        <f>0</f>
        <v>0</v>
      </c>
      <c r="C57" s="28">
        <f>0</f>
        <v>0</v>
      </c>
      <c r="D57" s="28">
        <f>0</f>
        <v>0</v>
      </c>
      <c r="E57" s="28">
        <v>0</v>
      </c>
      <c r="F57" s="28">
        <f>0</f>
        <v>0</v>
      </c>
      <c r="G57" s="28">
        <f>0</f>
        <v>0</v>
      </c>
      <c r="H57" s="28">
        <f>0</f>
        <v>0</v>
      </c>
      <c r="I57" s="28">
        <f>0</f>
        <v>0</v>
      </c>
      <c r="J57" s="28">
        <v>0</v>
      </c>
      <c r="K57" s="28">
        <f>0</f>
        <v>0</v>
      </c>
      <c r="L57" s="28">
        <f>0</f>
        <v>0</v>
      </c>
      <c r="M57" s="28">
        <v>0</v>
      </c>
      <c r="N57" s="28">
        <f>0</f>
        <v>0</v>
      </c>
      <c r="O57" s="28">
        <f>0</f>
        <v>0</v>
      </c>
      <c r="P57" s="29">
        <f>SUM(B57:O57)</f>
        <v>0</v>
      </c>
    </row>
    <row r="58" spans="1:16" ht="21.75">
      <c r="A58" s="19" t="s">
        <v>73</v>
      </c>
      <c r="B58" s="29">
        <f aca="true" t="shared" si="11" ref="B58:N58">B8+B12+B16+B20+B24+B28+B39+B43+B48+B52+B56</f>
        <v>0</v>
      </c>
      <c r="C58" s="29">
        <f t="shared" si="11"/>
        <v>0</v>
      </c>
      <c r="D58" s="29">
        <f t="shared" si="11"/>
        <v>0</v>
      </c>
      <c r="E58" s="29">
        <f t="shared" si="11"/>
        <v>0</v>
      </c>
      <c r="F58" s="29">
        <f aca="true" t="shared" si="12" ref="F58:H59">F8+F12+F16+F20+F24+F28+F39+F43+F48+F52+F56</f>
        <v>322851.5</v>
      </c>
      <c r="G58" s="29">
        <f t="shared" si="12"/>
        <v>0</v>
      </c>
      <c r="H58" s="29">
        <f t="shared" si="12"/>
        <v>0</v>
      </c>
      <c r="I58" s="29">
        <f t="shared" si="11"/>
        <v>0</v>
      </c>
      <c r="J58" s="29">
        <f t="shared" si="11"/>
        <v>0</v>
      </c>
      <c r="K58" s="29">
        <f>K8+K12+K16+K20+K24+K28+K39+K43+K48+K52+K56</f>
        <v>0</v>
      </c>
      <c r="L58" s="29">
        <f t="shared" si="11"/>
        <v>0</v>
      </c>
      <c r="M58" s="29">
        <f t="shared" si="11"/>
        <v>0</v>
      </c>
      <c r="N58" s="29">
        <f t="shared" si="11"/>
        <v>0</v>
      </c>
      <c r="O58" s="29">
        <f>O8+O12+O16+O20+O24+O28+O39+O43+O48+O52+O56</f>
        <v>0</v>
      </c>
      <c r="P58" s="29">
        <f>SUM(B58:O58)</f>
        <v>322851.5</v>
      </c>
    </row>
    <row r="59" spans="1:16" ht="21.75">
      <c r="A59" s="19" t="s">
        <v>104</v>
      </c>
      <c r="B59" s="29">
        <f>B9+B13+B17+B21+B25+B29+B40+B44+B49+B53+B57</f>
        <v>0</v>
      </c>
      <c r="C59" s="29">
        <f aca="true" t="shared" si="13" ref="C59:N59">C9+C13+C17+C21+C25+C29+C40+C44+C49+C53+C57</f>
        <v>0</v>
      </c>
      <c r="D59" s="29">
        <f t="shared" si="13"/>
        <v>0</v>
      </c>
      <c r="E59" s="29">
        <f t="shared" si="13"/>
        <v>0</v>
      </c>
      <c r="F59" s="29">
        <f t="shared" si="12"/>
        <v>333651.5</v>
      </c>
      <c r="G59" s="29">
        <f t="shared" si="12"/>
        <v>0</v>
      </c>
      <c r="H59" s="29">
        <f t="shared" si="12"/>
        <v>0</v>
      </c>
      <c r="I59" s="29">
        <f t="shared" si="13"/>
        <v>149000</v>
      </c>
      <c r="J59" s="29">
        <f t="shared" si="13"/>
        <v>273038.18</v>
      </c>
      <c r="K59" s="29">
        <f>K9+K13+K17+K21+K25+K29+K40+K44+K49+K53+K57</f>
        <v>0</v>
      </c>
      <c r="L59" s="29">
        <f t="shared" si="13"/>
        <v>0</v>
      </c>
      <c r="M59" s="29">
        <f t="shared" si="13"/>
        <v>0</v>
      </c>
      <c r="N59" s="29">
        <f t="shared" si="13"/>
        <v>0</v>
      </c>
      <c r="O59" s="29">
        <f>O9+O13+O17+O21+O25+O29+O40+O44+O49+O53+O57</f>
        <v>0</v>
      </c>
      <c r="P59" s="29">
        <f>SUM(B59:O59)</f>
        <v>755689.6799999999</v>
      </c>
    </row>
    <row r="60" spans="1:16" ht="21.75">
      <c r="A60" s="302"/>
      <c r="B60" s="308"/>
      <c r="C60" s="308"/>
      <c r="D60" s="308"/>
      <c r="E60" s="546" t="s">
        <v>7</v>
      </c>
      <c r="F60" s="546"/>
      <c r="G60" s="546"/>
      <c r="H60" s="315"/>
      <c r="I60" s="315"/>
      <c r="J60" s="546" t="s">
        <v>101</v>
      </c>
      <c r="K60" s="546"/>
      <c r="L60" s="546"/>
      <c r="M60" s="304"/>
      <c r="N60" s="309"/>
      <c r="O60" s="308"/>
      <c r="P60" s="310"/>
    </row>
    <row r="61" spans="1:16" ht="21.75">
      <c r="A61" s="302"/>
      <c r="B61" s="34"/>
      <c r="C61" s="34"/>
      <c r="D61" s="3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4"/>
      <c r="P61" s="313"/>
    </row>
    <row r="62" spans="1:16" ht="21.75">
      <c r="A62" s="302"/>
      <c r="B62" s="34"/>
      <c r="C62" s="34"/>
      <c r="D62" s="34"/>
      <c r="E62" s="547" t="s">
        <v>119</v>
      </c>
      <c r="F62" s="547"/>
      <c r="G62" s="547"/>
      <c r="H62" s="316"/>
      <c r="I62" s="316"/>
      <c r="J62" s="547" t="s">
        <v>238</v>
      </c>
      <c r="K62" s="547"/>
      <c r="L62" s="547"/>
      <c r="M62" s="304"/>
      <c r="N62" s="303"/>
      <c r="O62" s="34"/>
      <c r="P62" s="313"/>
    </row>
    <row r="63" spans="1:16" ht="21.75">
      <c r="A63" s="201"/>
      <c r="B63" s="34"/>
      <c r="C63" s="34"/>
      <c r="D63" s="34"/>
      <c r="E63" s="547" t="s">
        <v>111</v>
      </c>
      <c r="F63" s="547"/>
      <c r="G63" s="547"/>
      <c r="H63" s="316"/>
      <c r="I63" s="316"/>
      <c r="J63" s="547" t="s">
        <v>100</v>
      </c>
      <c r="K63" s="547"/>
      <c r="L63" s="547"/>
      <c r="M63" s="304"/>
      <c r="N63" s="303"/>
      <c r="O63" s="34"/>
      <c r="P63" s="313"/>
    </row>
    <row r="64" spans="1:16" ht="21.75">
      <c r="A64" s="201"/>
      <c r="B64" s="34"/>
      <c r="C64" s="34"/>
      <c r="D64" s="34"/>
      <c r="E64" s="303"/>
      <c r="F64" s="304"/>
      <c r="G64" s="304"/>
      <c r="H64" s="303"/>
      <c r="I64" s="303"/>
      <c r="J64" s="303"/>
      <c r="K64" s="303"/>
      <c r="L64" s="303"/>
      <c r="M64" s="304"/>
      <c r="N64" s="303"/>
      <c r="O64" s="34"/>
      <c r="P64" s="313"/>
    </row>
    <row r="65" spans="2:13" ht="21.75">
      <c r="B65" s="314"/>
      <c r="C65" s="314"/>
      <c r="D65" s="314"/>
      <c r="E65" s="314"/>
      <c r="F65" s="314"/>
      <c r="G65" s="314"/>
      <c r="H65" s="314"/>
      <c r="I65" s="314"/>
      <c r="J65" s="314"/>
      <c r="L65" s="314"/>
      <c r="M65" s="314"/>
    </row>
  </sheetData>
  <mergeCells count="24">
    <mergeCell ref="E60:G60"/>
    <mergeCell ref="E62:G62"/>
    <mergeCell ref="E63:G63"/>
    <mergeCell ref="J60:L60"/>
    <mergeCell ref="J62:L62"/>
    <mergeCell ref="J63:L63"/>
    <mergeCell ref="A1:P1"/>
    <mergeCell ref="A2:P2"/>
    <mergeCell ref="A3:P3"/>
    <mergeCell ref="I4:J4"/>
    <mergeCell ref="L4:M4"/>
    <mergeCell ref="B4:C4"/>
    <mergeCell ref="D4:E4"/>
    <mergeCell ref="E30:G30"/>
    <mergeCell ref="E32:G32"/>
    <mergeCell ref="E33:G33"/>
    <mergeCell ref="J30:L30"/>
    <mergeCell ref="J32:L32"/>
    <mergeCell ref="J33:L33"/>
    <mergeCell ref="A34:P34"/>
    <mergeCell ref="D35:E35"/>
    <mergeCell ref="B35:C35"/>
    <mergeCell ref="L35:M35"/>
    <mergeCell ref="I35:J35"/>
  </mergeCells>
  <printOptions/>
  <pageMargins left="0.75" right="0.25" top="0" bottom="0" header="0.011811024" footer="0.01"/>
  <pageSetup horizontalDpi="180" verticalDpi="18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workbookViewId="0" topLeftCell="A13">
      <selection activeCell="F25" sqref="F25"/>
    </sheetView>
  </sheetViews>
  <sheetFormatPr defaultColWidth="9.140625" defaultRowHeight="21.75"/>
  <cols>
    <col min="1" max="1" width="4.28125" style="77" customWidth="1"/>
    <col min="2" max="4" width="9.140625" style="77" customWidth="1"/>
    <col min="5" max="5" width="19.28125" style="77" customWidth="1"/>
    <col min="6" max="6" width="15.421875" style="77" customWidth="1"/>
    <col min="7" max="7" width="4.00390625" style="77" customWidth="1"/>
    <col min="8" max="8" width="15.421875" style="149" customWidth="1"/>
    <col min="9" max="9" width="9.140625" style="77" customWidth="1"/>
    <col min="10" max="10" width="4.28125" style="77" customWidth="1"/>
    <col min="11" max="16384" width="9.140625" style="77" customWidth="1"/>
  </cols>
  <sheetData>
    <row r="1" spans="1:9" ht="23.25">
      <c r="A1" s="474" t="s">
        <v>207</v>
      </c>
      <c r="B1" s="474"/>
      <c r="C1" s="474"/>
      <c r="D1" s="474"/>
      <c r="E1" s="474"/>
      <c r="F1" s="474"/>
      <c r="G1" s="474"/>
      <c r="H1" s="474"/>
      <c r="I1" s="474"/>
    </row>
    <row r="2" spans="1:9" ht="23.25">
      <c r="A2" s="474" t="s">
        <v>208</v>
      </c>
      <c r="B2" s="474"/>
      <c r="C2" s="474"/>
      <c r="D2" s="474"/>
      <c r="E2" s="474"/>
      <c r="F2" s="474"/>
      <c r="G2" s="474"/>
      <c r="H2" s="474"/>
      <c r="I2" s="474"/>
    </row>
    <row r="3" spans="1:9" ht="23.25">
      <c r="A3" s="474" t="s">
        <v>303</v>
      </c>
      <c r="B3" s="474"/>
      <c r="C3" s="474"/>
      <c r="D3" s="474"/>
      <c r="E3" s="474"/>
      <c r="F3" s="474"/>
      <c r="G3" s="474"/>
      <c r="H3" s="474"/>
      <c r="I3" s="474"/>
    </row>
    <row r="4" spans="1:9" ht="23.25">
      <c r="A4" s="91"/>
      <c r="B4" s="91"/>
      <c r="C4" s="91"/>
      <c r="D4" s="91"/>
      <c r="E4" s="91"/>
      <c r="F4" s="91" t="s">
        <v>25</v>
      </c>
      <c r="G4" s="91"/>
      <c r="H4" s="91" t="s">
        <v>167</v>
      </c>
      <c r="I4" s="91"/>
    </row>
    <row r="5" ht="23.25">
      <c r="A5" s="94" t="s">
        <v>209</v>
      </c>
    </row>
    <row r="6" spans="2:9" ht="23.25">
      <c r="B6" s="77" t="s">
        <v>210</v>
      </c>
      <c r="F6" s="149">
        <v>1161966.56</v>
      </c>
      <c r="G6" s="149"/>
      <c r="H6" s="149">
        <f>1041719.61+392900.66+3204288.9+461926.29+4406752.15+1323645.73+430501.86+1294751.26+369856.73+1161966.56</f>
        <v>14088309.75</v>
      </c>
      <c r="I6" s="256" t="s">
        <v>30</v>
      </c>
    </row>
    <row r="7" spans="2:9" ht="23.25">
      <c r="B7" s="77" t="s">
        <v>224</v>
      </c>
      <c r="F7" s="149">
        <v>3938272</v>
      </c>
      <c r="G7" s="149"/>
      <c r="H7" s="149">
        <f>1795000+2100000+181197+123144+1132872+226572+61572+61572+3938272</f>
        <v>9620201</v>
      </c>
      <c r="I7" s="256" t="s">
        <v>30</v>
      </c>
    </row>
    <row r="8" spans="2:9" ht="23.25">
      <c r="B8" s="77" t="s">
        <v>211</v>
      </c>
      <c r="F8" s="149">
        <v>28114.81</v>
      </c>
      <c r="G8" s="149"/>
      <c r="H8" s="149">
        <f>3313.46+1896.55+4585.3+4471.52+2149.11+22967.16+16524.05+37660.57+1777.26+28114.81</f>
        <v>123459.79</v>
      </c>
      <c r="I8" s="256" t="s">
        <v>30</v>
      </c>
    </row>
    <row r="9" spans="2:9" ht="23.25">
      <c r="B9" s="77" t="s">
        <v>242</v>
      </c>
      <c r="F9" s="149">
        <v>157380</v>
      </c>
      <c r="G9" s="149"/>
      <c r="H9" s="149">
        <f>11300+11320+565476+169256+247334+139300+213500+133304+157380</f>
        <v>1648170</v>
      </c>
      <c r="I9" s="256" t="s">
        <v>30</v>
      </c>
    </row>
    <row r="10" spans="2:9" ht="23.25">
      <c r="B10" s="77" t="s">
        <v>243</v>
      </c>
      <c r="F10" s="149">
        <v>375500</v>
      </c>
      <c r="G10" s="149"/>
      <c r="H10" s="149">
        <f>696000+348000+349500+351607.27+345000+364140+410500+382600+375500</f>
        <v>3622847.27</v>
      </c>
      <c r="I10" s="256" t="s">
        <v>30</v>
      </c>
    </row>
    <row r="11" spans="2:9" ht="23.25">
      <c r="B11" s="77" t="s">
        <v>284</v>
      </c>
      <c r="F11" s="149"/>
      <c r="G11" s="149"/>
      <c r="H11" s="149">
        <v>88081</v>
      </c>
      <c r="I11" s="256" t="s">
        <v>30</v>
      </c>
    </row>
    <row r="12" spans="2:9" ht="23.25">
      <c r="B12" s="77" t="s">
        <v>269</v>
      </c>
      <c r="F12" s="149">
        <v>0</v>
      </c>
      <c r="G12" s="149"/>
      <c r="H12" s="149">
        <v>367.74</v>
      </c>
      <c r="I12" s="256" t="s">
        <v>30</v>
      </c>
    </row>
    <row r="13" spans="2:9" ht="23.25">
      <c r="B13" s="77" t="s">
        <v>212</v>
      </c>
      <c r="F13" s="149"/>
      <c r="G13" s="149"/>
      <c r="H13" s="149">
        <f>99990.93+6400</f>
        <v>106390.93</v>
      </c>
      <c r="I13" s="256" t="s">
        <v>30</v>
      </c>
    </row>
    <row r="14" spans="2:9" ht="23.25">
      <c r="B14" s="77" t="s">
        <v>213</v>
      </c>
      <c r="F14" s="149">
        <v>9401.87</v>
      </c>
      <c r="G14" s="149"/>
      <c r="H14" s="149">
        <f>16775.7+9401.87</f>
        <v>26177.57</v>
      </c>
      <c r="I14" s="256" t="s">
        <v>30</v>
      </c>
    </row>
    <row r="15" spans="5:9" ht="23.25">
      <c r="E15" s="77" t="s">
        <v>214</v>
      </c>
      <c r="F15" s="257">
        <f>SUM(F6:F14)</f>
        <v>5670635.24</v>
      </c>
      <c r="G15" s="157"/>
      <c r="H15" s="257">
        <f>SUM(H6:H14)</f>
        <v>29324005.049999997</v>
      </c>
      <c r="I15" s="256" t="s">
        <v>30</v>
      </c>
    </row>
    <row r="16" spans="1:7" ht="23.25">
      <c r="A16" s="94" t="s">
        <v>45</v>
      </c>
      <c r="F16" s="149"/>
      <c r="G16" s="149"/>
    </row>
    <row r="17" spans="2:9" ht="23.25">
      <c r="B17" s="77" t="s">
        <v>215</v>
      </c>
      <c r="F17" s="149">
        <v>843262.41</v>
      </c>
      <c r="G17" s="149"/>
      <c r="H17" s="149">
        <f>429893.02+587611.95+1408067.33+1063307.29+896894.42+1289916.29+700085.4+1433951.32+1286342.93+843262.41</f>
        <v>9939332.360000001</v>
      </c>
      <c r="I17" s="256" t="s">
        <v>30</v>
      </c>
    </row>
    <row r="18" spans="2:9" ht="23.25">
      <c r="B18" s="77" t="s">
        <v>225</v>
      </c>
      <c r="F18" s="149">
        <v>3170822</v>
      </c>
      <c r="G18" s="149"/>
      <c r="H18" s="149">
        <f>1795000+696000+520920+354277+403640+465212+405072+466140+434777+3170822</f>
        <v>8711860</v>
      </c>
      <c r="I18" s="256" t="s">
        <v>30</v>
      </c>
    </row>
    <row r="19" spans="2:9" ht="23.25">
      <c r="B19" s="77" t="s">
        <v>216</v>
      </c>
      <c r="F19" s="149">
        <v>0</v>
      </c>
      <c r="G19" s="149"/>
      <c r="H19" s="149">
        <v>603540</v>
      </c>
      <c r="I19" s="256" t="s">
        <v>30</v>
      </c>
    </row>
    <row r="20" spans="2:9" ht="23.25">
      <c r="B20" s="77" t="s">
        <v>270</v>
      </c>
      <c r="F20" s="149">
        <v>0</v>
      </c>
      <c r="G20" s="149"/>
      <c r="H20" s="149">
        <f>10000+14440.09</f>
        <v>24440.09</v>
      </c>
      <c r="I20" s="256"/>
    </row>
    <row r="21" spans="2:9" ht="23.25">
      <c r="B21" s="77" t="s">
        <v>217</v>
      </c>
      <c r="F21" s="149">
        <v>1727.24</v>
      </c>
      <c r="G21" s="149"/>
      <c r="H21" s="149">
        <f>4338.43+10977.36+231.31+2057.1+11275.16+49999.03+24568.22+1142.7+5861.32+1727.24</f>
        <v>112177.87000000001</v>
      </c>
      <c r="I21" s="256" t="s">
        <v>30</v>
      </c>
    </row>
    <row r="22" spans="2:9" ht="23.25">
      <c r="B22" s="77" t="s">
        <v>244</v>
      </c>
      <c r="F22" s="149">
        <v>133846</v>
      </c>
      <c r="G22" s="149"/>
      <c r="H22" s="149">
        <f>87252+14844+565556+236794+132740+215500+265024+17660+133846</f>
        <v>1669216</v>
      </c>
      <c r="I22" s="256" t="s">
        <v>30</v>
      </c>
    </row>
    <row r="23" spans="2:9" ht="23.25">
      <c r="B23" s="77" t="s">
        <v>245</v>
      </c>
      <c r="F23" s="149">
        <v>375500</v>
      </c>
      <c r="G23" s="149"/>
      <c r="H23" s="149">
        <f>696000+348000+349500+351607.27+365140+344000+790000+3100+375500</f>
        <v>3622847.27</v>
      </c>
      <c r="I23" s="256" t="s">
        <v>30</v>
      </c>
    </row>
    <row r="24" spans="2:9" ht="23.25">
      <c r="B24" s="77" t="s">
        <v>254</v>
      </c>
      <c r="F24" s="149"/>
      <c r="G24" s="149"/>
      <c r="H24" s="149">
        <f>48244.5+47163</f>
        <v>95407.5</v>
      </c>
      <c r="I24" s="256" t="s">
        <v>30</v>
      </c>
    </row>
    <row r="25" spans="2:9" ht="23.25">
      <c r="B25" s="77" t="s">
        <v>218</v>
      </c>
      <c r="F25" s="149"/>
      <c r="G25" s="149"/>
      <c r="H25" s="149">
        <f>283838.18+149000+322851.5+6400</f>
        <v>762089.6799999999</v>
      </c>
      <c r="I25" s="256" t="s">
        <v>30</v>
      </c>
    </row>
    <row r="26" spans="2:9" ht="23.25">
      <c r="B26" s="77" t="s">
        <v>219</v>
      </c>
      <c r="F26" s="149">
        <v>9401.87</v>
      </c>
      <c r="G26" s="149"/>
      <c r="H26" s="149">
        <f>16775.7+9401.87</f>
        <v>26177.57</v>
      </c>
      <c r="I26" s="256" t="s">
        <v>30</v>
      </c>
    </row>
    <row r="27" spans="5:9" ht="23.25">
      <c r="E27" s="77" t="s">
        <v>214</v>
      </c>
      <c r="F27" s="257">
        <f>SUM(F17:F26)</f>
        <v>4534559.5200000005</v>
      </c>
      <c r="G27" s="149"/>
      <c r="H27" s="257">
        <f>SUM(H17:H26)</f>
        <v>25567088.34</v>
      </c>
      <c r="I27" s="256" t="s">
        <v>30</v>
      </c>
    </row>
    <row r="28" spans="2:9" ht="24" thickBot="1">
      <c r="B28" s="77" t="s">
        <v>220</v>
      </c>
      <c r="F28" s="295">
        <f>F15-F27</f>
        <v>1136075.7199999997</v>
      </c>
      <c r="G28" s="149"/>
      <c r="H28" s="258">
        <f>H15-H27</f>
        <v>3756916.709999997</v>
      </c>
      <c r="I28" s="256" t="s">
        <v>30</v>
      </c>
    </row>
    <row r="29" spans="6:9" ht="24" thickTop="1">
      <c r="F29" s="149"/>
      <c r="G29" s="149"/>
      <c r="H29" s="157"/>
      <c r="I29" s="256"/>
    </row>
    <row r="31" spans="1:10" s="259" customFormat="1" ht="21.75">
      <c r="A31" s="473" t="s">
        <v>221</v>
      </c>
      <c r="B31" s="473"/>
      <c r="C31" s="473"/>
      <c r="D31" s="473"/>
      <c r="E31" s="473"/>
      <c r="F31" s="473"/>
      <c r="G31" s="473"/>
      <c r="H31" s="473"/>
      <c r="I31" s="473"/>
      <c r="J31" s="473"/>
    </row>
    <row r="32" spans="1:10" s="259" customFormat="1" ht="21.75">
      <c r="A32" s="473" t="s">
        <v>222</v>
      </c>
      <c r="B32" s="473"/>
      <c r="C32" s="473"/>
      <c r="D32" s="473"/>
      <c r="E32" s="473"/>
      <c r="F32" s="473"/>
      <c r="G32" s="473"/>
      <c r="H32" s="473"/>
      <c r="I32" s="473"/>
      <c r="J32" s="473"/>
    </row>
    <row r="33" spans="1:10" s="259" customFormat="1" ht="21.75">
      <c r="A33" s="473" t="s">
        <v>223</v>
      </c>
      <c r="B33" s="473"/>
      <c r="C33" s="473"/>
      <c r="D33" s="473"/>
      <c r="E33" s="473"/>
      <c r="F33" s="473"/>
      <c r="G33" s="473"/>
      <c r="H33" s="473"/>
      <c r="I33" s="473"/>
      <c r="J33" s="473"/>
    </row>
  </sheetData>
  <mergeCells count="6">
    <mergeCell ref="A32:J32"/>
    <mergeCell ref="A33:J33"/>
    <mergeCell ref="A1:I1"/>
    <mergeCell ref="A2:I2"/>
    <mergeCell ref="A3:I3"/>
    <mergeCell ref="A31:J31"/>
  </mergeCells>
  <printOptions/>
  <pageMargins left="0.75" right="0.75" top="0.25" bottom="0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4">
      <selection activeCell="E25" sqref="E25"/>
    </sheetView>
  </sheetViews>
  <sheetFormatPr defaultColWidth="9.140625" defaultRowHeight="21.75"/>
  <cols>
    <col min="1" max="1" width="11.8515625" style="0" bestFit="1" customWidth="1"/>
    <col min="4" max="4" width="11.140625" style="0" customWidth="1"/>
    <col min="6" max="6" width="6.7109375" style="0" customWidth="1"/>
    <col min="7" max="7" width="13.140625" style="0" bestFit="1" customWidth="1"/>
    <col min="8" max="8" width="7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0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9</v>
      </c>
      <c r="G2" s="2"/>
      <c r="H2" s="2"/>
      <c r="I2" s="2"/>
      <c r="J2" s="2"/>
    </row>
    <row r="3" spans="1:10" ht="26.25">
      <c r="A3" s="1" t="s">
        <v>1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10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477" t="s">
        <v>3</v>
      </c>
      <c r="M5" s="477"/>
    </row>
    <row r="6" spans="1:13" ht="24">
      <c r="A6" s="1" t="s">
        <v>302</v>
      </c>
      <c r="B6" s="1"/>
      <c r="C6" s="1"/>
      <c r="D6" s="1"/>
      <c r="E6" s="1"/>
      <c r="F6" s="1"/>
      <c r="G6" s="2"/>
      <c r="H6" s="2"/>
      <c r="I6" s="475" t="s">
        <v>2</v>
      </c>
      <c r="J6" s="476"/>
      <c r="L6" s="482">
        <v>6581698.23</v>
      </c>
      <c r="M6" s="483"/>
    </row>
    <row r="7" spans="1:12" ht="24">
      <c r="A7" s="1" t="s">
        <v>4</v>
      </c>
      <c r="B7" s="2"/>
      <c r="C7" s="2"/>
      <c r="D7" s="2"/>
      <c r="E7" s="2"/>
      <c r="F7" s="2"/>
      <c r="G7" s="2"/>
      <c r="H7" s="3"/>
      <c r="I7" s="9"/>
      <c r="K7" s="10"/>
      <c r="L7" s="11"/>
    </row>
    <row r="8" spans="1:13" ht="24">
      <c r="A8" s="2" t="s">
        <v>11</v>
      </c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"/>
      <c r="B9" s="2"/>
      <c r="C9" s="2"/>
      <c r="D9" s="2"/>
      <c r="E9" s="2"/>
      <c r="F9" s="2"/>
      <c r="G9" s="2"/>
      <c r="H9" s="2"/>
      <c r="I9" s="8"/>
      <c r="J9" s="9"/>
      <c r="L9" s="10"/>
      <c r="M9" s="11"/>
    </row>
    <row r="10" spans="1:13" ht="24">
      <c r="A10" s="1" t="s">
        <v>5</v>
      </c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2" t="s">
        <v>12</v>
      </c>
      <c r="B11" s="2"/>
      <c r="C11" s="2"/>
      <c r="D11" s="2"/>
      <c r="E11" s="2"/>
      <c r="F11" s="2"/>
      <c r="G11" s="2"/>
      <c r="H11" s="2"/>
      <c r="I11" s="12">
        <v>7257493.21</v>
      </c>
      <c r="J11" s="9"/>
      <c r="L11" s="480"/>
      <c r="M11" s="481"/>
    </row>
    <row r="12" spans="1:13" ht="24">
      <c r="A12" s="22" t="s">
        <v>282</v>
      </c>
      <c r="B12" s="2"/>
      <c r="C12" s="2"/>
      <c r="D12" s="156" t="s">
        <v>283</v>
      </c>
      <c r="E12" s="2"/>
      <c r="F12" s="2"/>
      <c r="G12" s="13">
        <v>670</v>
      </c>
      <c r="H12" s="2"/>
      <c r="I12" s="12"/>
      <c r="J12" s="9"/>
      <c r="L12" s="217"/>
      <c r="M12" s="218"/>
    </row>
    <row r="13" spans="1:13" ht="24">
      <c r="A13" s="22" t="s">
        <v>304</v>
      </c>
      <c r="B13" s="2"/>
      <c r="C13" s="2"/>
      <c r="D13" s="156" t="s">
        <v>305</v>
      </c>
      <c r="E13" s="2"/>
      <c r="F13" s="2"/>
      <c r="G13" s="13">
        <v>1850</v>
      </c>
      <c r="H13" s="2"/>
      <c r="I13" s="12"/>
      <c r="J13" s="9"/>
      <c r="L13" s="217"/>
      <c r="M13" s="218"/>
    </row>
    <row r="14" spans="1:13" ht="24">
      <c r="A14" s="22" t="s">
        <v>304</v>
      </c>
      <c r="B14" s="2"/>
      <c r="C14" s="2"/>
      <c r="D14" s="156" t="s">
        <v>306</v>
      </c>
      <c r="E14" s="2"/>
      <c r="F14" s="2"/>
      <c r="G14" s="13">
        <v>2970</v>
      </c>
      <c r="H14" s="2"/>
      <c r="I14" s="12"/>
      <c r="J14" s="9"/>
      <c r="L14" s="217"/>
      <c r="M14" s="218"/>
    </row>
    <row r="15" spans="1:13" ht="24">
      <c r="A15" s="22" t="s">
        <v>307</v>
      </c>
      <c r="B15" s="2"/>
      <c r="C15" s="2"/>
      <c r="D15" s="156" t="s">
        <v>308</v>
      </c>
      <c r="E15" s="2"/>
      <c r="F15" s="2"/>
      <c r="G15" s="13">
        <v>850</v>
      </c>
      <c r="H15" s="2"/>
      <c r="I15" s="12"/>
      <c r="J15" s="9"/>
      <c r="L15" s="217"/>
      <c r="M15" s="218"/>
    </row>
    <row r="16" spans="1:13" ht="24">
      <c r="A16" s="22"/>
      <c r="B16" s="2"/>
      <c r="C16" s="2"/>
      <c r="D16" s="156"/>
      <c r="E16" s="2"/>
      <c r="F16" s="2"/>
      <c r="G16" s="13"/>
      <c r="H16" s="2"/>
      <c r="I16" s="8"/>
      <c r="J16" s="9"/>
      <c r="L16" s="484">
        <f>SUM(G12:G16)</f>
        <v>6340</v>
      </c>
      <c r="M16" s="485"/>
    </row>
    <row r="17" spans="1:13" ht="24">
      <c r="A17" s="22"/>
      <c r="B17" s="2"/>
      <c r="C17" s="2"/>
      <c r="D17" s="156"/>
      <c r="E17" s="2"/>
      <c r="F17" s="2"/>
      <c r="G17" s="13"/>
      <c r="H17" s="2"/>
      <c r="I17" s="8"/>
      <c r="J17" s="9"/>
      <c r="L17" s="84"/>
      <c r="M17" s="90"/>
    </row>
    <row r="18" spans="1:13" ht="24">
      <c r="A18" s="22"/>
      <c r="B18" s="2"/>
      <c r="C18" s="2"/>
      <c r="D18" s="156"/>
      <c r="E18" s="2"/>
      <c r="F18" s="2"/>
      <c r="G18" s="13"/>
      <c r="H18" s="2"/>
      <c r="I18" s="8"/>
      <c r="J18" s="9"/>
      <c r="L18" s="84"/>
      <c r="M18" s="90"/>
    </row>
    <row r="19" spans="1:13" ht="24">
      <c r="A19" s="22"/>
      <c r="B19" s="2"/>
      <c r="C19" s="2"/>
      <c r="D19" s="156"/>
      <c r="E19" s="2"/>
      <c r="F19" s="2"/>
      <c r="G19" s="13"/>
      <c r="H19" s="2"/>
      <c r="I19" s="8"/>
      <c r="J19" s="9"/>
      <c r="L19" s="84"/>
      <c r="M19" s="90"/>
    </row>
    <row r="20" spans="1:13" ht="24">
      <c r="A20" s="22"/>
      <c r="B20" s="2"/>
      <c r="C20" s="2"/>
      <c r="D20" s="156"/>
      <c r="E20" s="2"/>
      <c r="F20" s="2"/>
      <c r="G20" s="13"/>
      <c r="H20" s="2"/>
      <c r="I20" s="8"/>
      <c r="J20" s="9"/>
      <c r="L20" s="84"/>
      <c r="M20" s="90"/>
    </row>
    <row r="21" spans="1:13" ht="24">
      <c r="A21" s="22"/>
      <c r="B21" s="2"/>
      <c r="C21" s="2"/>
      <c r="D21" s="156"/>
      <c r="E21" s="2"/>
      <c r="F21" s="2"/>
      <c r="G21" s="13"/>
      <c r="H21" s="2"/>
      <c r="I21" s="8"/>
      <c r="J21" s="9"/>
      <c r="L21" s="84"/>
      <c r="M21" s="90"/>
    </row>
    <row r="22" spans="1:13" ht="24">
      <c r="A22" s="1" t="s">
        <v>105</v>
      </c>
      <c r="B22" s="1"/>
      <c r="C22" s="1"/>
      <c r="D22" s="1"/>
      <c r="E22" s="2"/>
      <c r="F22" s="2"/>
      <c r="G22" s="2"/>
      <c r="H22" s="2"/>
      <c r="I22" s="8"/>
      <c r="J22" s="9"/>
      <c r="L22" s="14"/>
      <c r="M22" s="11"/>
    </row>
    <row r="23" spans="1:13" ht="24">
      <c r="A23" s="15" t="s">
        <v>6</v>
      </c>
      <c r="B23" s="2"/>
      <c r="C23" s="2"/>
      <c r="D23" s="2"/>
      <c r="E23" s="2"/>
      <c r="F23" s="2"/>
      <c r="G23" s="2"/>
      <c r="H23" s="2"/>
      <c r="I23" s="8"/>
      <c r="J23" s="9"/>
      <c r="L23" s="10"/>
      <c r="M23" s="11"/>
    </row>
    <row r="24" spans="1:13" ht="24">
      <c r="A24" s="15"/>
      <c r="B24" s="2"/>
      <c r="C24" s="2"/>
      <c r="D24" s="2"/>
      <c r="E24" s="2"/>
      <c r="F24" s="2"/>
      <c r="G24" s="2"/>
      <c r="H24" s="2"/>
      <c r="I24" s="8"/>
      <c r="J24" s="9"/>
      <c r="L24" s="10"/>
      <c r="M24" s="11"/>
    </row>
    <row r="25" spans="1:13" ht="24">
      <c r="A25" s="15"/>
      <c r="B25" s="2"/>
      <c r="C25" s="2"/>
      <c r="D25" s="2"/>
      <c r="E25" s="2"/>
      <c r="F25" s="2"/>
      <c r="G25" s="2"/>
      <c r="H25" s="2"/>
      <c r="I25" s="8"/>
      <c r="J25" s="9"/>
      <c r="L25" s="10"/>
      <c r="M25" s="11"/>
    </row>
    <row r="26" spans="1:13" ht="24">
      <c r="A26" s="15"/>
      <c r="B26" s="2"/>
      <c r="C26" s="2"/>
      <c r="D26" s="2"/>
      <c r="E26" s="2"/>
      <c r="F26" s="2"/>
      <c r="G26" s="2"/>
      <c r="H26" s="2"/>
      <c r="I26" s="8"/>
      <c r="J26" s="9"/>
      <c r="L26" s="10"/>
      <c r="M26" s="11"/>
    </row>
    <row r="27" spans="1:13" ht="24">
      <c r="A27" s="22"/>
      <c r="B27" s="2"/>
      <c r="C27" s="2"/>
      <c r="D27" s="2"/>
      <c r="E27" s="2"/>
      <c r="F27" s="2"/>
      <c r="G27" s="13"/>
      <c r="H27" s="2"/>
      <c r="I27" s="8"/>
      <c r="J27" s="9"/>
      <c r="L27" s="486"/>
      <c r="M27" s="487"/>
    </row>
    <row r="28" spans="1:13" ht="24">
      <c r="A28" s="2"/>
      <c r="B28" s="2"/>
      <c r="C28" s="2"/>
      <c r="D28" s="2"/>
      <c r="E28" s="2"/>
      <c r="F28" s="2"/>
      <c r="G28" s="2"/>
      <c r="H28" s="2"/>
      <c r="I28" s="8"/>
      <c r="J28" s="9"/>
      <c r="L28" s="10"/>
      <c r="M28" s="11"/>
    </row>
    <row r="29" spans="1:17" ht="24">
      <c r="A29" s="155" t="s">
        <v>309</v>
      </c>
      <c r="B29" s="5"/>
      <c r="C29" s="5"/>
      <c r="D29" s="5"/>
      <c r="E29" s="5"/>
      <c r="F29" s="5"/>
      <c r="G29" s="5"/>
      <c r="H29" s="6"/>
      <c r="I29" s="17">
        <v>7256974.21</v>
      </c>
      <c r="J29" s="9"/>
      <c r="L29" s="478">
        <f>L6-L16+L27</f>
        <v>6575358.23</v>
      </c>
      <c r="M29" s="479"/>
      <c r="Q29" s="153"/>
    </row>
    <row r="30" spans="1:10" ht="24">
      <c r="A30" s="1" t="s">
        <v>7</v>
      </c>
      <c r="B30" s="2"/>
      <c r="C30" s="2"/>
      <c r="D30" s="2"/>
      <c r="E30" s="2"/>
      <c r="F30" s="8" t="s">
        <v>8</v>
      </c>
      <c r="G30" s="2"/>
      <c r="H30" s="2"/>
      <c r="I30" s="9"/>
      <c r="J30" s="5"/>
    </row>
    <row r="31" spans="1:10" ht="24">
      <c r="A31" s="2"/>
      <c r="B31" s="2"/>
      <c r="C31" s="2"/>
      <c r="D31" s="2"/>
      <c r="E31" s="2"/>
      <c r="F31" s="8"/>
      <c r="G31" s="2"/>
      <c r="H31" s="2"/>
      <c r="I31" s="2"/>
      <c r="J31" s="9"/>
    </row>
    <row r="32" spans="1:12" ht="24">
      <c r="A32" s="1" t="s">
        <v>117</v>
      </c>
      <c r="B32" s="2"/>
      <c r="C32" s="2"/>
      <c r="D32" s="23" t="s">
        <v>310</v>
      </c>
      <c r="E32" s="2"/>
      <c r="F32" s="24" t="s">
        <v>147</v>
      </c>
      <c r="G32" s="2"/>
      <c r="H32" s="2"/>
      <c r="I32" s="2"/>
      <c r="J32" s="2"/>
      <c r="L32" s="23" t="str">
        <f>D32</f>
        <v>วันที่ 31 ก.ค. 53</v>
      </c>
    </row>
    <row r="33" spans="1:13" ht="24">
      <c r="A33" s="16" t="s">
        <v>118</v>
      </c>
      <c r="B33" s="5"/>
      <c r="C33" s="5"/>
      <c r="D33" s="5"/>
      <c r="E33" s="5"/>
      <c r="F33" s="18" t="s">
        <v>13</v>
      </c>
      <c r="G33" s="5"/>
      <c r="H33" s="5"/>
      <c r="I33" s="5"/>
      <c r="J33" s="5"/>
      <c r="K33" s="7"/>
      <c r="L33" s="7"/>
      <c r="M33" s="7"/>
    </row>
    <row r="34" spans="1:10" ht="24">
      <c r="A34" s="9"/>
      <c r="B34" s="9"/>
      <c r="C34" s="9"/>
      <c r="D34" s="9"/>
      <c r="E34" s="9"/>
      <c r="F34" s="9"/>
      <c r="G34" s="9"/>
      <c r="H34" s="9"/>
      <c r="I34" s="9"/>
      <c r="J34" s="5"/>
    </row>
    <row r="35" spans="1:9" ht="21.75">
      <c r="A35" s="11"/>
      <c r="B35" s="11"/>
      <c r="C35" s="11"/>
      <c r="D35" s="11"/>
      <c r="E35" s="11"/>
      <c r="F35" s="11"/>
      <c r="G35" s="11"/>
      <c r="H35" s="11"/>
      <c r="I35" s="11"/>
    </row>
  </sheetData>
  <mergeCells count="7">
    <mergeCell ref="I6:J6"/>
    <mergeCell ref="L5:M5"/>
    <mergeCell ref="L29:M29"/>
    <mergeCell ref="L11:M11"/>
    <mergeCell ref="L6:M6"/>
    <mergeCell ref="L16:M16"/>
    <mergeCell ref="L27:M27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C21" sqref="C21"/>
    </sheetView>
  </sheetViews>
  <sheetFormatPr defaultColWidth="9.140625" defaultRowHeight="21.75"/>
  <cols>
    <col min="1" max="1" width="16.140625" style="0" bestFit="1" customWidth="1"/>
    <col min="4" max="4" width="11.140625" style="0" customWidth="1"/>
    <col min="5" max="5" width="6.7109375" style="0" customWidth="1"/>
    <col min="6" max="6" width="13.140625" style="0" bestFit="1" customWidth="1"/>
    <col min="7" max="7" width="7.00390625" style="0" customWidth="1"/>
    <col min="8" max="8" width="17.28125" style="0" hidden="1" customWidth="1"/>
    <col min="9" max="9" width="14.28125" style="0" hidden="1" customWidth="1"/>
    <col min="10" max="10" width="10.7109375" style="0" hidden="1" customWidth="1"/>
    <col min="11" max="11" width="12.57421875" style="0" customWidth="1"/>
    <col min="12" max="12" width="5.7109375" style="0" customWidth="1"/>
    <col min="13" max="13" width="7.28125" style="0" customWidth="1"/>
    <col min="14" max="14" width="9.140625" style="0" hidden="1" customWidth="1"/>
    <col min="15" max="15" width="4.8515625" style="0" customWidth="1"/>
    <col min="16" max="16" width="8.7109375" style="0" customWidth="1"/>
  </cols>
  <sheetData>
    <row r="1" spans="1:9" ht="24">
      <c r="A1" s="1" t="s">
        <v>0</v>
      </c>
      <c r="B1" s="1"/>
      <c r="C1" s="1"/>
      <c r="D1" s="2"/>
      <c r="E1" s="8"/>
      <c r="F1" s="2"/>
      <c r="G1" s="2"/>
      <c r="H1" s="2"/>
      <c r="I1" s="2"/>
    </row>
    <row r="2" spans="1:9" ht="24">
      <c r="A2" s="2"/>
      <c r="B2" s="2"/>
      <c r="C2" s="2"/>
      <c r="D2" s="2"/>
      <c r="E2" s="8" t="s">
        <v>113</v>
      </c>
      <c r="F2" s="2"/>
      <c r="G2" s="2"/>
      <c r="H2" s="2"/>
      <c r="I2" s="2"/>
    </row>
    <row r="3" spans="1:9" ht="26.25">
      <c r="A3" s="1" t="s">
        <v>1</v>
      </c>
      <c r="B3" s="2"/>
      <c r="C3" s="2"/>
      <c r="D3" s="2"/>
      <c r="E3" s="8"/>
      <c r="F3" s="2"/>
      <c r="G3" s="2"/>
      <c r="H3" s="2"/>
      <c r="I3" s="2"/>
    </row>
    <row r="4" spans="1:9" ht="24">
      <c r="A4" s="2"/>
      <c r="B4" s="2"/>
      <c r="C4" s="2"/>
      <c r="D4" s="2"/>
      <c r="E4" s="8" t="s">
        <v>114</v>
      </c>
      <c r="F4" s="2"/>
      <c r="G4" s="2"/>
      <c r="H4" s="4"/>
      <c r="I4" s="2"/>
    </row>
    <row r="5" spans="1:12" ht="24">
      <c r="A5" s="5"/>
      <c r="B5" s="5"/>
      <c r="C5" s="5"/>
      <c r="D5" s="5"/>
      <c r="E5" s="18"/>
      <c r="F5" s="5"/>
      <c r="G5" s="5"/>
      <c r="H5" s="5"/>
      <c r="I5" s="5"/>
      <c r="K5" s="477" t="s">
        <v>3</v>
      </c>
      <c r="L5" s="477"/>
    </row>
    <row r="6" spans="1:12" ht="24">
      <c r="A6" s="1" t="s">
        <v>311</v>
      </c>
      <c r="B6" s="1"/>
      <c r="C6" s="1"/>
      <c r="D6" s="1"/>
      <c r="E6" s="1"/>
      <c r="F6" s="2"/>
      <c r="G6" s="2"/>
      <c r="H6" s="475" t="s">
        <v>2</v>
      </c>
      <c r="I6" s="476"/>
      <c r="K6" s="494">
        <v>1428478.43</v>
      </c>
      <c r="L6" s="495"/>
    </row>
    <row r="7" spans="1:12" ht="24">
      <c r="A7" s="1" t="s">
        <v>4</v>
      </c>
      <c r="B7" s="2"/>
      <c r="C7" s="2"/>
      <c r="D7" s="2"/>
      <c r="E7" s="2"/>
      <c r="F7" s="2"/>
      <c r="G7" s="2"/>
      <c r="H7" s="8"/>
      <c r="I7" s="9"/>
      <c r="K7" s="10"/>
      <c r="L7" s="11"/>
    </row>
    <row r="8" spans="1:12" ht="24">
      <c r="A8" s="2" t="s">
        <v>11</v>
      </c>
      <c r="B8" s="2"/>
      <c r="C8" s="2"/>
      <c r="D8" s="2"/>
      <c r="E8" s="2"/>
      <c r="F8" s="2"/>
      <c r="G8" s="2"/>
      <c r="H8" s="8"/>
      <c r="I8" s="9"/>
      <c r="K8" s="10"/>
      <c r="L8" s="11"/>
    </row>
    <row r="9" spans="1:12" ht="24">
      <c r="A9" s="22"/>
      <c r="C9" s="446"/>
      <c r="D9" s="2"/>
      <c r="F9" s="13"/>
      <c r="G9" s="2"/>
      <c r="H9" s="8"/>
      <c r="I9" s="9"/>
      <c r="K9" s="490"/>
      <c r="L9" s="491"/>
    </row>
    <row r="10" spans="1:12" ht="24">
      <c r="A10" s="22"/>
      <c r="B10" s="2"/>
      <c r="C10" s="2"/>
      <c r="D10" s="2"/>
      <c r="E10" s="2"/>
      <c r="F10" s="13"/>
      <c r="G10" s="2"/>
      <c r="H10" s="8"/>
      <c r="I10" s="9"/>
      <c r="K10" s="496"/>
      <c r="L10" s="497"/>
    </row>
    <row r="11" spans="1:12" ht="24">
      <c r="A11" s="1" t="s">
        <v>5</v>
      </c>
      <c r="B11" s="2"/>
      <c r="C11" s="2"/>
      <c r="D11" s="2"/>
      <c r="E11" s="2"/>
      <c r="F11" s="2"/>
      <c r="G11" s="2"/>
      <c r="H11" s="8"/>
      <c r="I11" s="9"/>
      <c r="K11" s="10"/>
      <c r="L11" s="11"/>
    </row>
    <row r="12" spans="1:12" ht="24">
      <c r="A12" s="2" t="s">
        <v>12</v>
      </c>
      <c r="B12" s="2"/>
      <c r="C12" s="2"/>
      <c r="D12" s="2"/>
      <c r="E12" s="2"/>
      <c r="F12" s="2"/>
      <c r="G12" s="2"/>
      <c r="H12" s="12">
        <v>7257493.21</v>
      </c>
      <c r="I12" s="9"/>
      <c r="K12" s="480"/>
      <c r="L12" s="481"/>
    </row>
    <row r="13" spans="1:12" ht="24">
      <c r="A13" s="320"/>
      <c r="B13" s="2"/>
      <c r="C13" s="2"/>
      <c r="D13" s="22"/>
      <c r="E13" s="2"/>
      <c r="F13" s="13"/>
      <c r="G13" s="2"/>
      <c r="H13" s="8"/>
      <c r="I13" s="9"/>
      <c r="K13" s="488"/>
      <c r="L13" s="489"/>
    </row>
    <row r="14" spans="1:12" ht="24">
      <c r="A14" s="22"/>
      <c r="C14" s="446"/>
      <c r="D14" s="2"/>
      <c r="F14" s="13"/>
      <c r="G14" s="2"/>
      <c r="H14" s="8"/>
      <c r="I14" s="9"/>
      <c r="K14" s="484"/>
      <c r="L14" s="485"/>
    </row>
    <row r="15" spans="1:12" ht="24">
      <c r="A15" s="22"/>
      <c r="B15" s="2"/>
      <c r="C15" s="2"/>
      <c r="D15" s="2"/>
      <c r="E15" s="2"/>
      <c r="F15" s="13"/>
      <c r="G15" s="2"/>
      <c r="H15" s="8"/>
      <c r="I15" s="9"/>
      <c r="K15" s="484"/>
      <c r="L15" s="485"/>
    </row>
    <row r="16" spans="1:12" ht="24">
      <c r="A16" s="22"/>
      <c r="B16" s="2"/>
      <c r="C16" s="2"/>
      <c r="D16" s="2"/>
      <c r="E16" s="2"/>
      <c r="F16" s="13"/>
      <c r="G16" s="2"/>
      <c r="H16" s="8"/>
      <c r="I16" s="9"/>
      <c r="K16" s="84"/>
      <c r="L16" s="90"/>
    </row>
    <row r="17" spans="1:12" ht="24">
      <c r="A17" s="1" t="s">
        <v>105</v>
      </c>
      <c r="B17" s="1"/>
      <c r="C17" s="1"/>
      <c r="D17" s="1"/>
      <c r="E17" s="2"/>
      <c r="F17" s="2"/>
      <c r="G17" s="2"/>
      <c r="H17" s="8"/>
      <c r="I17" s="9"/>
      <c r="K17" s="14"/>
      <c r="L17" s="11"/>
    </row>
    <row r="18" spans="1:12" ht="24">
      <c r="A18" s="15" t="s">
        <v>6</v>
      </c>
      <c r="B18" s="2"/>
      <c r="C18" s="2"/>
      <c r="D18" s="2"/>
      <c r="E18" s="2"/>
      <c r="F18" s="2"/>
      <c r="G18" s="2"/>
      <c r="H18" s="8"/>
      <c r="I18" s="9"/>
      <c r="K18" s="10"/>
      <c r="L18" s="11"/>
    </row>
    <row r="19" spans="1:12" ht="24">
      <c r="A19" s="15" t="s">
        <v>136</v>
      </c>
      <c r="B19" s="2"/>
      <c r="C19" s="2"/>
      <c r="D19" s="154" t="s">
        <v>137</v>
      </c>
      <c r="E19" s="2"/>
      <c r="F19" s="154" t="s">
        <v>138</v>
      </c>
      <c r="G19" s="2"/>
      <c r="H19" s="8"/>
      <c r="I19" s="9"/>
      <c r="K19" s="10"/>
      <c r="L19" s="11"/>
    </row>
    <row r="20" spans="1:12" ht="24">
      <c r="A20" s="549" t="s">
        <v>313</v>
      </c>
      <c r="B20" s="2"/>
      <c r="C20" s="2"/>
      <c r="D20" s="548" t="s">
        <v>314</v>
      </c>
      <c r="E20" s="2"/>
      <c r="F20" s="550">
        <v>48720</v>
      </c>
      <c r="G20" s="2"/>
      <c r="H20" s="8"/>
      <c r="I20" s="9"/>
      <c r="K20" s="490">
        <v>48720</v>
      </c>
      <c r="L20" s="491"/>
    </row>
    <row r="21" spans="1:12" ht="24">
      <c r="A21" s="89"/>
      <c r="B21" s="2"/>
      <c r="C21" s="2"/>
      <c r="D21" s="445"/>
      <c r="E21" s="2"/>
      <c r="F21" s="13"/>
      <c r="G21" s="2"/>
      <c r="H21" s="8"/>
      <c r="I21" s="9"/>
      <c r="K21" s="498"/>
      <c r="L21" s="499"/>
    </row>
    <row r="22" spans="1:12" ht="24">
      <c r="A22" s="15"/>
      <c r="B22" s="2"/>
      <c r="C22" s="2"/>
      <c r="D22" s="2"/>
      <c r="E22" s="2"/>
      <c r="F22" s="2"/>
      <c r="G22" s="2"/>
      <c r="H22" s="8"/>
      <c r="I22" s="9"/>
      <c r="K22" s="10"/>
      <c r="L22" s="11"/>
    </row>
    <row r="23" spans="1:12" ht="24">
      <c r="A23" s="15"/>
      <c r="B23" s="2"/>
      <c r="C23" s="2"/>
      <c r="D23" s="2"/>
      <c r="E23" s="2"/>
      <c r="F23" s="2"/>
      <c r="G23" s="2"/>
      <c r="H23" s="8"/>
      <c r="I23" s="9"/>
      <c r="K23" s="10"/>
      <c r="L23" s="11"/>
    </row>
    <row r="24" spans="1:12" ht="24">
      <c r="A24" s="15"/>
      <c r="B24" s="2"/>
      <c r="C24" s="2"/>
      <c r="D24" s="2"/>
      <c r="E24" s="2"/>
      <c r="F24" s="2"/>
      <c r="G24" s="2"/>
      <c r="H24" s="8"/>
      <c r="I24" s="9"/>
      <c r="K24" s="10"/>
      <c r="L24" s="11"/>
    </row>
    <row r="25" spans="1:12" ht="24">
      <c r="A25" s="15"/>
      <c r="B25" s="2"/>
      <c r="C25" s="2"/>
      <c r="D25" s="2"/>
      <c r="E25" s="2"/>
      <c r="F25" s="2"/>
      <c r="G25" s="2"/>
      <c r="H25" s="8"/>
      <c r="I25" s="9"/>
      <c r="K25" s="10"/>
      <c r="L25" s="11"/>
    </row>
    <row r="26" spans="1:12" ht="24">
      <c r="A26" s="15"/>
      <c r="B26" s="2"/>
      <c r="C26" s="2"/>
      <c r="D26" s="2"/>
      <c r="E26" s="2"/>
      <c r="F26" s="2"/>
      <c r="G26" s="2"/>
      <c r="H26" s="8"/>
      <c r="I26" s="9"/>
      <c r="K26" s="10"/>
      <c r="L26" s="11"/>
    </row>
    <row r="27" spans="1:12" ht="24">
      <c r="A27" s="15"/>
      <c r="B27" s="2"/>
      <c r="C27" s="2"/>
      <c r="D27" s="2"/>
      <c r="E27" s="2"/>
      <c r="F27" s="2"/>
      <c r="G27" s="2"/>
      <c r="H27" s="8"/>
      <c r="I27" s="9"/>
      <c r="K27" s="10"/>
      <c r="L27" s="11"/>
    </row>
    <row r="28" spans="1:12" ht="24">
      <c r="A28" s="15"/>
      <c r="B28" s="2"/>
      <c r="C28" s="2"/>
      <c r="D28" s="2"/>
      <c r="E28" s="2"/>
      <c r="F28" s="2"/>
      <c r="G28" s="2"/>
      <c r="H28" s="8"/>
      <c r="I28" s="9"/>
      <c r="K28" s="10"/>
      <c r="L28" s="11"/>
    </row>
    <row r="29" spans="1:12" ht="24">
      <c r="A29" s="2"/>
      <c r="B29" s="2"/>
      <c r="C29" s="2"/>
      <c r="D29" s="2"/>
      <c r="E29" s="2"/>
      <c r="F29" s="2"/>
      <c r="G29" s="2"/>
      <c r="H29" s="8"/>
      <c r="I29" s="9"/>
      <c r="K29" s="10"/>
      <c r="L29" s="11"/>
    </row>
    <row r="30" spans="1:12" ht="24">
      <c r="A30" s="16" t="s">
        <v>312</v>
      </c>
      <c r="B30" s="5"/>
      <c r="C30" s="5"/>
      <c r="D30" s="5"/>
      <c r="E30" s="5"/>
      <c r="F30" s="5"/>
      <c r="G30" s="6"/>
      <c r="H30" s="17">
        <v>7256974.21</v>
      </c>
      <c r="I30" s="9"/>
      <c r="K30" s="492">
        <f>K6+K9-K14+K20</f>
        <v>1477198.43</v>
      </c>
      <c r="L30" s="493"/>
    </row>
    <row r="31" spans="1:9" ht="24">
      <c r="A31" s="1" t="s">
        <v>7</v>
      </c>
      <c r="B31" s="2"/>
      <c r="C31" s="2"/>
      <c r="D31" s="2"/>
      <c r="E31" s="8" t="s">
        <v>8</v>
      </c>
      <c r="F31" s="2"/>
      <c r="G31" s="2"/>
      <c r="H31" s="9"/>
      <c r="I31" s="5"/>
    </row>
    <row r="32" spans="1:9" ht="24">
      <c r="A32" s="1"/>
      <c r="B32" s="2"/>
      <c r="C32" s="2"/>
      <c r="D32" s="2"/>
      <c r="E32" s="8"/>
      <c r="F32" s="2"/>
      <c r="G32" s="2"/>
      <c r="H32" s="9"/>
      <c r="I32" s="9"/>
    </row>
    <row r="33" spans="1:9" ht="24">
      <c r="A33" s="2"/>
      <c r="B33" s="2"/>
      <c r="C33" s="2"/>
      <c r="D33" s="2"/>
      <c r="E33" s="8"/>
      <c r="F33" s="2"/>
      <c r="G33" s="2"/>
      <c r="H33" s="2"/>
      <c r="I33" s="9"/>
    </row>
    <row r="34" spans="1:11" ht="24">
      <c r="A34" s="1" t="s">
        <v>148</v>
      </c>
      <c r="B34" s="2"/>
      <c r="C34" s="23" t="s">
        <v>310</v>
      </c>
      <c r="D34" s="23"/>
      <c r="E34" s="24" t="s">
        <v>147</v>
      </c>
      <c r="F34" s="2"/>
      <c r="G34" s="2"/>
      <c r="H34" s="2"/>
      <c r="I34" s="2"/>
      <c r="K34" s="23" t="str">
        <f>C34</f>
        <v>วันที่ 31 ก.ค. 53</v>
      </c>
    </row>
    <row r="35" spans="1:12" ht="24">
      <c r="A35" s="16" t="s">
        <v>118</v>
      </c>
      <c r="B35" s="5"/>
      <c r="C35" s="5"/>
      <c r="D35" s="5"/>
      <c r="E35" s="18" t="s">
        <v>13</v>
      </c>
      <c r="F35" s="5"/>
      <c r="G35" s="5"/>
      <c r="H35" s="5"/>
      <c r="I35" s="5"/>
      <c r="J35" s="7"/>
      <c r="K35" s="7"/>
      <c r="L35" s="7"/>
    </row>
    <row r="36" spans="1:9" ht="24">
      <c r="A36" s="9"/>
      <c r="B36" s="9"/>
      <c r="C36" s="9"/>
      <c r="D36" s="9"/>
      <c r="E36" s="9"/>
      <c r="F36" s="9"/>
      <c r="G36" s="9"/>
      <c r="H36" s="9"/>
      <c r="I36" s="5"/>
    </row>
    <row r="37" spans="1:8" ht="21.75">
      <c r="A37" s="11"/>
      <c r="B37" s="11"/>
      <c r="C37" s="11"/>
      <c r="D37" s="11"/>
      <c r="E37" s="11"/>
      <c r="F37" s="11"/>
      <c r="G37" s="11"/>
      <c r="H37" s="11"/>
    </row>
  </sheetData>
  <mergeCells count="12">
    <mergeCell ref="K30:L30"/>
    <mergeCell ref="K12:L12"/>
    <mergeCell ref="K6:L6"/>
    <mergeCell ref="K14:L14"/>
    <mergeCell ref="K10:L10"/>
    <mergeCell ref="K15:L15"/>
    <mergeCell ref="K21:L21"/>
    <mergeCell ref="K9:L9"/>
    <mergeCell ref="H6:I6"/>
    <mergeCell ref="K13:L13"/>
    <mergeCell ref="K5:L5"/>
    <mergeCell ref="K20:L20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9"/>
  <sheetViews>
    <sheetView zoomScaleSheetLayoutView="100" workbookViewId="0" topLeftCell="A1">
      <selection activeCell="A8" sqref="A8"/>
    </sheetView>
  </sheetViews>
  <sheetFormatPr defaultColWidth="9.140625" defaultRowHeight="21.75"/>
  <cols>
    <col min="1" max="1" width="46.421875" style="259" customWidth="1"/>
    <col min="2" max="2" width="9.28125" style="294" customWidth="1"/>
    <col min="3" max="3" width="14.7109375" style="259" customWidth="1"/>
    <col min="4" max="4" width="4.7109375" style="259" customWidth="1"/>
    <col min="5" max="5" width="14.7109375" style="259" customWidth="1"/>
    <col min="6" max="6" width="4.7109375" style="259" customWidth="1"/>
    <col min="7" max="16384" width="9.140625" style="259" customWidth="1"/>
  </cols>
  <sheetData>
    <row r="1" spans="1:6" ht="21.75">
      <c r="A1" s="500" t="s">
        <v>60</v>
      </c>
      <c r="B1" s="500"/>
      <c r="C1" s="500"/>
      <c r="D1" s="500"/>
      <c r="E1" s="500"/>
      <c r="F1" s="500"/>
    </row>
    <row r="2" spans="1:6" ht="21.75">
      <c r="A2" s="500" t="s">
        <v>61</v>
      </c>
      <c r="B2" s="500"/>
      <c r="C2" s="500"/>
      <c r="D2" s="500"/>
      <c r="E2" s="500"/>
      <c r="F2" s="500"/>
    </row>
    <row r="3" spans="1:42" ht="21.75">
      <c r="A3" s="501" t="s">
        <v>292</v>
      </c>
      <c r="B3" s="501"/>
      <c r="C3" s="501"/>
      <c r="D3" s="501"/>
      <c r="E3" s="501"/>
      <c r="F3" s="501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</row>
    <row r="4" spans="1:42" ht="23.25" customHeight="1">
      <c r="A4" s="502" t="s">
        <v>28</v>
      </c>
      <c r="B4" s="504" t="s">
        <v>62</v>
      </c>
      <c r="C4" s="502" t="s">
        <v>63</v>
      </c>
      <c r="D4" s="502"/>
      <c r="E4" s="506" t="s">
        <v>64</v>
      </c>
      <c r="F4" s="507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</row>
    <row r="5" spans="1:42" ht="21.75">
      <c r="A5" s="503"/>
      <c r="B5" s="505"/>
      <c r="C5" s="503"/>
      <c r="D5" s="503"/>
      <c r="E5" s="508"/>
      <c r="F5" s="509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</row>
    <row r="6" spans="1:42" ht="21.75">
      <c r="A6" s="261" t="s">
        <v>139</v>
      </c>
      <c r="B6" s="262" t="s">
        <v>150</v>
      </c>
      <c r="C6" s="263">
        <v>1500</v>
      </c>
      <c r="D6" s="264" t="s">
        <v>70</v>
      </c>
      <c r="E6" s="265"/>
      <c r="F6" s="266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</row>
    <row r="7" spans="1:6" ht="21.75">
      <c r="A7" s="267" t="s">
        <v>65</v>
      </c>
      <c r="B7" s="268" t="s">
        <v>151</v>
      </c>
      <c r="C7" s="269">
        <v>6575358</v>
      </c>
      <c r="D7" s="270">
        <v>23</v>
      </c>
      <c r="E7" s="271"/>
      <c r="F7" s="272"/>
    </row>
    <row r="8" spans="1:6" ht="21.75">
      <c r="A8" s="267" t="s">
        <v>125</v>
      </c>
      <c r="B8" s="268" t="s">
        <v>151</v>
      </c>
      <c r="C8" s="269">
        <v>589043</v>
      </c>
      <c r="D8" s="270">
        <v>24</v>
      </c>
      <c r="E8" s="271"/>
      <c r="F8" s="272"/>
    </row>
    <row r="9" spans="1:6" ht="21.75">
      <c r="A9" s="267" t="s">
        <v>66</v>
      </c>
      <c r="B9" s="268" t="s">
        <v>152</v>
      </c>
      <c r="C9" s="273">
        <v>1428478</v>
      </c>
      <c r="D9" s="274">
        <v>43</v>
      </c>
      <c r="E9" s="271"/>
      <c r="F9" s="272"/>
    </row>
    <row r="10" spans="1:6" ht="21.75">
      <c r="A10" s="267" t="s">
        <v>41</v>
      </c>
      <c r="B10" s="268" t="s">
        <v>153</v>
      </c>
      <c r="C10" s="273">
        <v>51229</v>
      </c>
      <c r="D10" s="272">
        <v>40</v>
      </c>
      <c r="E10" s="271"/>
      <c r="F10" s="272"/>
    </row>
    <row r="11" spans="1:6" ht="21.75">
      <c r="A11" s="267" t="s">
        <v>239</v>
      </c>
      <c r="B11" s="268" t="s">
        <v>204</v>
      </c>
      <c r="C11" s="273">
        <v>21046</v>
      </c>
      <c r="D11" s="276" t="s">
        <v>70</v>
      </c>
      <c r="E11" s="273"/>
      <c r="F11" s="272"/>
    </row>
    <row r="12" spans="1:6" ht="21.75">
      <c r="A12" s="267" t="s">
        <v>274</v>
      </c>
      <c r="B12" s="268" t="s">
        <v>241</v>
      </c>
      <c r="C12" s="273" t="s">
        <v>70</v>
      </c>
      <c r="D12" s="276"/>
      <c r="E12" s="273"/>
      <c r="F12" s="272"/>
    </row>
    <row r="13" spans="1:6" ht="21.75">
      <c r="A13" s="267" t="s">
        <v>165</v>
      </c>
      <c r="B13" s="268" t="s">
        <v>154</v>
      </c>
      <c r="C13" s="273"/>
      <c r="D13" s="275"/>
      <c r="E13" s="273">
        <v>48112</v>
      </c>
      <c r="F13" s="272">
        <v>50</v>
      </c>
    </row>
    <row r="14" spans="1:6" ht="21.75">
      <c r="A14" s="267" t="s">
        <v>286</v>
      </c>
      <c r="B14" s="268" t="s">
        <v>155</v>
      </c>
      <c r="C14" s="273"/>
      <c r="D14" s="275"/>
      <c r="E14" s="273" t="s">
        <v>70</v>
      </c>
      <c r="F14" s="272"/>
    </row>
    <row r="15" spans="1:6" ht="21.75">
      <c r="A15" s="267" t="s">
        <v>287</v>
      </c>
      <c r="B15" s="268" t="s">
        <v>180</v>
      </c>
      <c r="C15" s="269"/>
      <c r="D15" s="272"/>
      <c r="E15" s="273">
        <v>687728</v>
      </c>
      <c r="F15" s="274">
        <v>89</v>
      </c>
    </row>
    <row r="16" spans="1:6" ht="21.75">
      <c r="A16" s="267" t="s">
        <v>43</v>
      </c>
      <c r="B16" s="268" t="s">
        <v>177</v>
      </c>
      <c r="C16" s="273"/>
      <c r="D16" s="275"/>
      <c r="E16" s="273">
        <v>453640</v>
      </c>
      <c r="F16" s="274">
        <v>24</v>
      </c>
    </row>
    <row r="17" spans="1:6" ht="21.75">
      <c r="A17" s="267" t="s">
        <v>68</v>
      </c>
      <c r="B17" s="268" t="s">
        <v>178</v>
      </c>
      <c r="C17" s="273"/>
      <c r="D17" s="276"/>
      <c r="E17" s="269">
        <v>2331406</v>
      </c>
      <c r="F17" s="274">
        <v>54</v>
      </c>
    </row>
    <row r="18" spans="1:6" ht="21.75">
      <c r="A18" s="267" t="s">
        <v>288</v>
      </c>
      <c r="B18" s="268" t="s">
        <v>179</v>
      </c>
      <c r="C18" s="273"/>
      <c r="D18" s="272"/>
      <c r="E18" s="273">
        <v>23708510</v>
      </c>
      <c r="F18" s="270">
        <v>75</v>
      </c>
    </row>
    <row r="19" spans="1:6" ht="21.75">
      <c r="A19" s="267" t="s">
        <v>46</v>
      </c>
      <c r="B19" s="268" t="s">
        <v>200</v>
      </c>
      <c r="C19" s="273">
        <v>5347921</v>
      </c>
      <c r="D19" s="270">
        <v>38</v>
      </c>
      <c r="E19" s="273"/>
      <c r="F19" s="270"/>
    </row>
    <row r="20" spans="1:6" ht="21.75">
      <c r="A20" s="267" t="s">
        <v>233</v>
      </c>
      <c r="B20" s="268" t="s">
        <v>235</v>
      </c>
      <c r="C20" s="273">
        <v>1083722</v>
      </c>
      <c r="D20" s="270">
        <v>58</v>
      </c>
      <c r="E20" s="273"/>
      <c r="F20" s="270"/>
    </row>
    <row r="21" spans="1:6" ht="21.75">
      <c r="A21" s="267" t="s">
        <v>234</v>
      </c>
      <c r="B21" s="268" t="s">
        <v>236</v>
      </c>
      <c r="C21" s="273">
        <v>3109772</v>
      </c>
      <c r="D21" s="270">
        <v>45</v>
      </c>
      <c r="E21" s="273"/>
      <c r="F21" s="270"/>
    </row>
    <row r="22" spans="1:6" ht="21.75">
      <c r="A22" s="267" t="s">
        <v>47</v>
      </c>
      <c r="B22" s="268" t="s">
        <v>172</v>
      </c>
      <c r="C22" s="273">
        <v>391007</v>
      </c>
      <c r="D22" s="272" t="s">
        <v>70</v>
      </c>
      <c r="E22" s="273"/>
      <c r="F22" s="272"/>
    </row>
    <row r="23" spans="1:6" ht="21.75">
      <c r="A23" s="267" t="s">
        <v>48</v>
      </c>
      <c r="B23" s="268" t="s">
        <v>173</v>
      </c>
      <c r="C23" s="273">
        <v>986364</v>
      </c>
      <c r="D23" s="272">
        <v>24</v>
      </c>
      <c r="E23" s="273"/>
      <c r="F23" s="272"/>
    </row>
    <row r="24" spans="1:6" ht="21.75">
      <c r="A24" s="267" t="s">
        <v>49</v>
      </c>
      <c r="B24" s="268" t="s">
        <v>174</v>
      </c>
      <c r="C24" s="273">
        <v>994610</v>
      </c>
      <c r="D24" s="272">
        <v>20</v>
      </c>
      <c r="E24" s="273"/>
      <c r="F24" s="272"/>
    </row>
    <row r="25" spans="1:6" ht="21.75">
      <c r="A25" s="267" t="s">
        <v>67</v>
      </c>
      <c r="B25" s="268" t="s">
        <v>175</v>
      </c>
      <c r="C25" s="273">
        <v>229945</v>
      </c>
      <c r="D25" s="272">
        <v>77</v>
      </c>
      <c r="E25" s="273"/>
      <c r="F25" s="272"/>
    </row>
    <row r="26" spans="1:6" ht="21.75">
      <c r="A26" s="267" t="s">
        <v>50</v>
      </c>
      <c r="B26" s="268" t="s">
        <v>246</v>
      </c>
      <c r="C26" s="273">
        <v>58400</v>
      </c>
      <c r="D26" s="272" t="s">
        <v>70</v>
      </c>
      <c r="E26" s="273"/>
      <c r="F26" s="272"/>
    </row>
    <row r="27" spans="1:6" ht="21.75">
      <c r="A27" s="267" t="s">
        <v>51</v>
      </c>
      <c r="B27" s="268" t="s">
        <v>176</v>
      </c>
      <c r="C27" s="273">
        <v>5038000</v>
      </c>
      <c r="D27" s="272" t="s">
        <v>70</v>
      </c>
      <c r="E27" s="273"/>
      <c r="F27" s="272"/>
    </row>
    <row r="28" spans="1:6" ht="21.75">
      <c r="A28" s="267" t="s">
        <v>247</v>
      </c>
      <c r="B28" s="268" t="s">
        <v>202</v>
      </c>
      <c r="C28" s="273">
        <v>570000</v>
      </c>
      <c r="D28" s="272" t="s">
        <v>70</v>
      </c>
      <c r="E28" s="273"/>
      <c r="F28" s="272"/>
    </row>
    <row r="29" spans="1:6" ht="21.75">
      <c r="A29" s="267" t="s">
        <v>40</v>
      </c>
      <c r="B29" s="268" t="s">
        <v>201</v>
      </c>
      <c r="C29" s="273">
        <v>753000</v>
      </c>
      <c r="D29" s="274" t="s">
        <v>70</v>
      </c>
      <c r="E29" s="273"/>
      <c r="F29" s="274"/>
    </row>
    <row r="30" spans="1:6" ht="21.75">
      <c r="A30" s="267"/>
      <c r="B30" s="268"/>
      <c r="C30" s="277"/>
      <c r="D30" s="276"/>
      <c r="E30" s="273"/>
      <c r="F30" s="278"/>
    </row>
    <row r="31" spans="1:6" ht="21.75">
      <c r="A31" s="267"/>
      <c r="B31" s="268"/>
      <c r="C31" s="277"/>
      <c r="D31" s="276"/>
      <c r="E31" s="273"/>
      <c r="F31" s="278"/>
    </row>
    <row r="32" spans="1:6" ht="21.75">
      <c r="A32" s="267"/>
      <c r="B32" s="268"/>
      <c r="C32" s="277"/>
      <c r="D32" s="276"/>
      <c r="E32" s="273"/>
      <c r="F32" s="278"/>
    </row>
    <row r="33" spans="1:6" ht="21.75">
      <c r="A33" s="279"/>
      <c r="B33" s="268"/>
      <c r="C33" s="280"/>
      <c r="D33" s="276"/>
      <c r="E33" s="269"/>
      <c r="F33" s="281"/>
    </row>
    <row r="34" spans="1:6" ht="21.75">
      <c r="A34" s="282"/>
      <c r="B34" s="283"/>
      <c r="C34" s="284"/>
      <c r="D34" s="285"/>
      <c r="E34" s="277"/>
      <c r="F34" s="281"/>
    </row>
    <row r="35" spans="2:6" ht="22.5" thickBot="1">
      <c r="B35" s="286"/>
      <c r="C35" s="287">
        <f>INT(SUM(C6:C34)+SUM(D6:D34)/100)</f>
        <v>27229398</v>
      </c>
      <c r="D35" s="288">
        <f>MOD(SUM(D6:D34),100)</f>
        <v>92</v>
      </c>
      <c r="E35" s="287">
        <f>INT(SUM(E6:E34)+SUM(F6:F34)/100)</f>
        <v>27229398</v>
      </c>
      <c r="F35" s="289">
        <f>MOD(SUM(F6:F34),100)</f>
        <v>92</v>
      </c>
    </row>
    <row r="36" spans="2:6" ht="22.5" thickTop="1">
      <c r="B36" s="286"/>
      <c r="C36" s="290"/>
      <c r="D36" s="291"/>
      <c r="E36" s="290"/>
      <c r="F36" s="291"/>
    </row>
    <row r="37" spans="1:6" ht="21.75">
      <c r="A37" s="473" t="s">
        <v>127</v>
      </c>
      <c r="B37" s="473"/>
      <c r="C37" s="473"/>
      <c r="D37" s="473"/>
      <c r="E37" s="473"/>
      <c r="F37" s="473"/>
    </row>
    <row r="38" spans="1:6" ht="21.75">
      <c r="A38" s="293" t="s">
        <v>128</v>
      </c>
      <c r="B38" s="293"/>
      <c r="C38" s="293"/>
      <c r="D38" s="293"/>
      <c r="E38" s="293"/>
      <c r="F38" s="293"/>
    </row>
    <row r="39" spans="1:5" ht="21.75">
      <c r="A39" s="292" t="s">
        <v>129</v>
      </c>
      <c r="C39" s="293"/>
      <c r="D39" s="293"/>
      <c r="E39" s="293"/>
    </row>
  </sheetData>
  <mergeCells count="8">
    <mergeCell ref="A37:F37"/>
    <mergeCell ref="A1:F1"/>
    <mergeCell ref="A2:F2"/>
    <mergeCell ref="A3:F3"/>
    <mergeCell ref="A4:A5"/>
    <mergeCell ref="B4:B5"/>
    <mergeCell ref="C4:D5"/>
    <mergeCell ref="E4:F5"/>
  </mergeCells>
  <printOptions/>
  <pageMargins left="0.4724409448818898" right="0.4724409448818898" top="0.31496062992125984" bottom="0.1968503937007874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workbookViewId="0" topLeftCell="A10">
      <selection activeCell="B119" sqref="B119"/>
    </sheetView>
  </sheetViews>
  <sheetFormatPr defaultColWidth="9.140625" defaultRowHeight="21.75"/>
  <cols>
    <col min="1" max="1" width="9.140625" style="92" customWidth="1"/>
    <col min="2" max="2" width="50.8515625" style="92" customWidth="1"/>
    <col min="3" max="5" width="14.7109375" style="92" customWidth="1"/>
    <col min="6" max="16384" width="9.140625" style="92" customWidth="1"/>
  </cols>
  <sheetData>
    <row r="1" spans="1:8" ht="23.25">
      <c r="A1" s="510" t="s">
        <v>58</v>
      </c>
      <c r="B1" s="510"/>
      <c r="C1" s="510"/>
      <c r="D1" s="510"/>
      <c r="E1" s="510"/>
      <c r="F1" s="219"/>
      <c r="G1" s="219"/>
      <c r="H1" s="219"/>
    </row>
    <row r="2" spans="1:8" ht="23.25">
      <c r="A2" s="474" t="s">
        <v>164</v>
      </c>
      <c r="B2" s="474"/>
      <c r="C2" s="474"/>
      <c r="D2" s="474"/>
      <c r="E2" s="474"/>
      <c r="F2" s="219"/>
      <c r="G2" s="219"/>
      <c r="H2" s="219"/>
    </row>
    <row r="3" spans="1:8" ht="23.25">
      <c r="A3" s="474" t="s">
        <v>293</v>
      </c>
      <c r="B3" s="474"/>
      <c r="C3" s="474"/>
      <c r="D3" s="474"/>
      <c r="E3" s="474"/>
      <c r="F3" s="219"/>
      <c r="G3" s="219"/>
      <c r="H3" s="219"/>
    </row>
    <row r="4" spans="1:8" ht="23.25">
      <c r="A4" s="474" t="s">
        <v>166</v>
      </c>
      <c r="B4" s="474"/>
      <c r="C4" s="474"/>
      <c r="D4" s="474"/>
      <c r="E4" s="474"/>
      <c r="F4" s="219"/>
      <c r="G4" s="219"/>
      <c r="H4" s="219"/>
    </row>
    <row r="5" spans="1:5" ht="21">
      <c r="A5" s="226" t="s">
        <v>252</v>
      </c>
      <c r="B5" s="226" t="s">
        <v>28</v>
      </c>
      <c r="C5" s="226" t="s">
        <v>63</v>
      </c>
      <c r="D5" s="226" t="s">
        <v>64</v>
      </c>
      <c r="E5" s="226" t="s">
        <v>163</v>
      </c>
    </row>
    <row r="6" spans="1:5" ht="23.25">
      <c r="A6" s="327">
        <v>1</v>
      </c>
      <c r="B6" s="326" t="s">
        <v>181</v>
      </c>
      <c r="C6" s="328">
        <v>0</v>
      </c>
      <c r="D6" s="328">
        <v>0</v>
      </c>
      <c r="E6" s="328">
        <f>128520-48244.5-32163</f>
        <v>48112.5</v>
      </c>
    </row>
    <row r="7" spans="1:5" ht="23.25">
      <c r="A7" s="220">
        <v>2</v>
      </c>
      <c r="B7" s="329" t="s">
        <v>182</v>
      </c>
      <c r="C7" s="330">
        <v>0</v>
      </c>
      <c r="D7" s="330">
        <v>0</v>
      </c>
      <c r="E7" s="330">
        <v>0</v>
      </c>
    </row>
    <row r="8" spans="1:5" ht="23.25">
      <c r="A8" s="220"/>
      <c r="B8" s="329"/>
      <c r="C8" s="330"/>
      <c r="D8" s="330"/>
      <c r="E8" s="330"/>
    </row>
    <row r="9" spans="1:5" ht="24" thickBot="1">
      <c r="A9" s="323"/>
      <c r="B9" s="324"/>
      <c r="C9" s="325">
        <f>SUM(C6:C8)</f>
        <v>0</v>
      </c>
      <c r="D9" s="325">
        <f>SUM(D6:D8)</f>
        <v>0</v>
      </c>
      <c r="E9" s="325">
        <f>SUM(E6:E8)</f>
        <v>48112.5</v>
      </c>
    </row>
    <row r="10" spans="1:2" ht="24" thickTop="1">
      <c r="A10" s="93"/>
      <c r="B10" s="77"/>
    </row>
    <row r="11" spans="1:2" ht="23.25">
      <c r="A11" s="93"/>
      <c r="B11" s="77"/>
    </row>
    <row r="29" spans="2:4" ht="23.25">
      <c r="B29" s="77"/>
      <c r="C29" s="137" t="s">
        <v>101</v>
      </c>
      <c r="D29" s="77"/>
    </row>
    <row r="30" spans="2:4" ht="23.25">
      <c r="B30" s="77"/>
      <c r="C30" s="77"/>
      <c r="D30" s="77"/>
    </row>
    <row r="31" spans="2:4" ht="23.25">
      <c r="B31" s="77"/>
      <c r="C31" s="137" t="s">
        <v>102</v>
      </c>
      <c r="D31" s="77"/>
    </row>
    <row r="32" spans="2:4" ht="23.25">
      <c r="B32" s="77"/>
      <c r="C32" s="137" t="s">
        <v>100</v>
      </c>
      <c r="D32" s="77"/>
    </row>
    <row r="34" spans="1:8" ht="23.25">
      <c r="A34" s="510" t="s">
        <v>141</v>
      </c>
      <c r="B34" s="510"/>
      <c r="C34" s="510"/>
      <c r="D34" s="510"/>
      <c r="E34" s="510"/>
      <c r="F34" s="219"/>
      <c r="G34" s="219"/>
      <c r="H34" s="219"/>
    </row>
    <row r="35" spans="1:8" ht="23.25">
      <c r="A35" s="474" t="s">
        <v>164</v>
      </c>
      <c r="B35" s="474"/>
      <c r="C35" s="474"/>
      <c r="D35" s="474"/>
      <c r="E35" s="474"/>
      <c r="F35" s="219"/>
      <c r="G35" s="219"/>
      <c r="H35" s="219"/>
    </row>
    <row r="36" spans="1:8" ht="23.25">
      <c r="A36" s="474" t="s">
        <v>294</v>
      </c>
      <c r="B36" s="474"/>
      <c r="C36" s="474"/>
      <c r="D36" s="474"/>
      <c r="E36" s="474"/>
      <c r="F36" s="219"/>
      <c r="G36" s="219"/>
      <c r="H36" s="219"/>
    </row>
    <row r="37" spans="1:8" ht="23.25">
      <c r="A37" s="454" t="s">
        <v>59</v>
      </c>
      <c r="B37" s="454"/>
      <c r="C37" s="454"/>
      <c r="D37" s="454"/>
      <c r="E37" s="454"/>
      <c r="F37" s="219"/>
      <c r="G37" s="219"/>
      <c r="H37" s="219"/>
    </row>
    <row r="38" spans="1:5" s="93" customFormat="1" ht="21">
      <c r="A38" s="226" t="s">
        <v>162</v>
      </c>
      <c r="B38" s="226" t="s">
        <v>28</v>
      </c>
      <c r="C38" s="226" t="s">
        <v>63</v>
      </c>
      <c r="D38" s="226" t="s">
        <v>64</v>
      </c>
      <c r="E38" s="226" t="s">
        <v>163</v>
      </c>
    </row>
    <row r="39" spans="1:5" ht="23.25">
      <c r="A39" s="220">
        <v>1</v>
      </c>
      <c r="B39" s="221" t="s">
        <v>156</v>
      </c>
      <c r="C39" s="222">
        <v>1727.23</v>
      </c>
      <c r="D39" s="222">
        <v>18006.31</v>
      </c>
      <c r="E39" s="222">
        <v>18006.31</v>
      </c>
    </row>
    <row r="40" spans="1:5" ht="23.25">
      <c r="A40" s="227">
        <v>2</v>
      </c>
      <c r="B40" s="228" t="s">
        <v>157</v>
      </c>
      <c r="C40" s="229">
        <v>0</v>
      </c>
      <c r="D40" s="229">
        <v>0</v>
      </c>
      <c r="E40" s="229">
        <v>53309.75</v>
      </c>
    </row>
    <row r="41" spans="1:5" ht="23.25">
      <c r="A41" s="227">
        <v>3</v>
      </c>
      <c r="B41" s="228" t="s">
        <v>158</v>
      </c>
      <c r="C41" s="229">
        <v>0.01</v>
      </c>
      <c r="D41" s="229">
        <v>49.32</v>
      </c>
      <c r="E41" s="229">
        <v>3281.63</v>
      </c>
    </row>
    <row r="42" spans="1:5" ht="23.25">
      <c r="A42" s="227">
        <v>4</v>
      </c>
      <c r="B42" s="228" t="s">
        <v>159</v>
      </c>
      <c r="C42" s="229">
        <v>0</v>
      </c>
      <c r="D42" s="229">
        <v>59.18</v>
      </c>
      <c r="E42" s="229">
        <v>3937.96</v>
      </c>
    </row>
    <row r="43" spans="1:5" ht="23.25">
      <c r="A43" s="227">
        <v>5</v>
      </c>
      <c r="B43" s="228" t="s">
        <v>160</v>
      </c>
      <c r="C43" s="229">
        <v>0</v>
      </c>
      <c r="D43" s="229">
        <v>10000</v>
      </c>
      <c r="E43" s="229">
        <v>589043.24</v>
      </c>
    </row>
    <row r="44" spans="1:5" ht="23.25">
      <c r="A44" s="227">
        <v>6</v>
      </c>
      <c r="B44" s="228" t="s">
        <v>275</v>
      </c>
      <c r="C44" s="229">
        <v>0</v>
      </c>
      <c r="D44" s="229">
        <v>0</v>
      </c>
      <c r="E44" s="229">
        <v>18000</v>
      </c>
    </row>
    <row r="45" spans="1:5" ht="23.25">
      <c r="A45" s="223">
        <v>7</v>
      </c>
      <c r="B45" s="224" t="s">
        <v>161</v>
      </c>
      <c r="C45" s="225">
        <v>0</v>
      </c>
      <c r="D45" s="225">
        <v>0</v>
      </c>
      <c r="E45" s="225">
        <v>2150</v>
      </c>
    </row>
    <row r="46" spans="3:5" ht="21.75" thickBot="1">
      <c r="C46" s="230">
        <f>SUM(C39:C45)</f>
        <v>1727.24</v>
      </c>
      <c r="D46" s="230">
        <f>SUM(D39:D45)</f>
        <v>28114.81</v>
      </c>
      <c r="E46" s="230">
        <f>SUM(E39:E45)</f>
        <v>687728.89</v>
      </c>
    </row>
    <row r="47" spans="3:5" ht="21.75" thickTop="1">
      <c r="C47" s="231"/>
      <c r="D47" s="231"/>
      <c r="E47" s="231"/>
    </row>
    <row r="48" spans="3:5" ht="21">
      <c r="C48" s="231"/>
      <c r="D48" s="231"/>
      <c r="E48" s="231"/>
    </row>
    <row r="49" spans="3:5" ht="21">
      <c r="C49" s="231"/>
      <c r="D49" s="231"/>
      <c r="E49" s="231"/>
    </row>
    <row r="50" spans="2:5" ht="23.25">
      <c r="B50" s="77"/>
      <c r="C50" s="137" t="s">
        <v>101</v>
      </c>
      <c r="D50" s="77"/>
      <c r="E50" s="231"/>
    </row>
    <row r="51" spans="2:5" ht="23.25">
      <c r="B51" s="77"/>
      <c r="C51" s="77"/>
      <c r="D51" s="77"/>
      <c r="E51" s="231"/>
    </row>
    <row r="52" spans="2:4" ht="23.25">
      <c r="B52" s="77"/>
      <c r="C52" s="137" t="s">
        <v>102</v>
      </c>
      <c r="D52" s="77"/>
    </row>
    <row r="53" spans="2:4" ht="23.25">
      <c r="B53" s="77"/>
      <c r="C53" s="137" t="s">
        <v>100</v>
      </c>
      <c r="D53" s="77"/>
    </row>
    <row r="54" spans="2:4" ht="23.25">
      <c r="B54" s="77"/>
      <c r="C54" s="137"/>
      <c r="D54" s="77"/>
    </row>
    <row r="55" spans="2:4" ht="23.25">
      <c r="B55" s="77"/>
      <c r="C55" s="137"/>
      <c r="D55" s="77"/>
    </row>
    <row r="56" spans="2:4" ht="23.25">
      <c r="B56" s="77"/>
      <c r="C56" s="137"/>
      <c r="D56" s="77"/>
    </row>
    <row r="57" spans="2:4" ht="23.25">
      <c r="B57" s="77"/>
      <c r="C57" s="137"/>
      <c r="D57" s="77"/>
    </row>
    <row r="58" spans="2:4" ht="23.25">
      <c r="B58" s="77"/>
      <c r="C58" s="137"/>
      <c r="D58" s="77"/>
    </row>
    <row r="59" spans="2:4" ht="23.25">
      <c r="B59" s="77"/>
      <c r="C59" s="137"/>
      <c r="D59" s="77"/>
    </row>
    <row r="60" spans="2:4" ht="23.25">
      <c r="B60" s="77"/>
      <c r="C60" s="137"/>
      <c r="D60" s="77"/>
    </row>
    <row r="61" spans="2:4" ht="23.25">
      <c r="B61" s="77"/>
      <c r="C61" s="137"/>
      <c r="D61" s="77"/>
    </row>
    <row r="62" spans="2:4" ht="23.25">
      <c r="B62" s="77"/>
      <c r="C62" s="137"/>
      <c r="D62" s="77"/>
    </row>
    <row r="63" spans="2:4" ht="23.25">
      <c r="B63" s="77"/>
      <c r="C63" s="137"/>
      <c r="D63" s="77"/>
    </row>
    <row r="64" spans="2:4" ht="23.25">
      <c r="B64" s="77"/>
      <c r="C64" s="137"/>
      <c r="D64" s="77"/>
    </row>
    <row r="65" spans="2:4" ht="23.25">
      <c r="B65" s="77"/>
      <c r="C65" s="137"/>
      <c r="D65" s="77"/>
    </row>
    <row r="66" spans="1:10" ht="23.25">
      <c r="A66" s="510" t="s">
        <v>126</v>
      </c>
      <c r="B66" s="510"/>
      <c r="C66" s="510"/>
      <c r="D66" s="510"/>
      <c r="E66" s="510"/>
      <c r="F66" s="219"/>
      <c r="G66" s="219"/>
      <c r="H66" s="219"/>
      <c r="I66" s="158"/>
      <c r="J66" s="158"/>
    </row>
    <row r="67" spans="1:8" ht="23.25">
      <c r="A67" s="474" t="s">
        <v>164</v>
      </c>
      <c r="B67" s="474"/>
      <c r="C67" s="474"/>
      <c r="D67" s="474"/>
      <c r="E67" s="474"/>
      <c r="F67" s="219"/>
      <c r="G67" s="219"/>
      <c r="H67" s="219"/>
    </row>
    <row r="68" spans="1:8" ht="23.25">
      <c r="A68" s="474" t="s">
        <v>294</v>
      </c>
      <c r="B68" s="474"/>
      <c r="C68" s="474"/>
      <c r="D68" s="474"/>
      <c r="E68" s="474"/>
      <c r="F68" s="219"/>
      <c r="G68" s="219"/>
      <c r="H68" s="219"/>
    </row>
    <row r="69" spans="1:8" ht="23.25">
      <c r="A69" s="474" t="s">
        <v>135</v>
      </c>
      <c r="B69" s="474"/>
      <c r="C69" s="474"/>
      <c r="D69" s="474"/>
      <c r="E69" s="474"/>
      <c r="F69" s="219"/>
      <c r="G69" s="219"/>
      <c r="H69" s="219"/>
    </row>
    <row r="70" spans="1:10" ht="21">
      <c r="A70" s="226" t="s">
        <v>162</v>
      </c>
      <c r="B70" s="226" t="s">
        <v>28</v>
      </c>
      <c r="C70" s="226" t="s">
        <v>25</v>
      </c>
      <c r="D70" s="226" t="s">
        <v>167</v>
      </c>
      <c r="E70" s="158"/>
      <c r="F70" s="158"/>
      <c r="G70" s="158"/>
      <c r="H70" s="158"/>
      <c r="I70" s="158"/>
      <c r="J70" s="158"/>
    </row>
    <row r="71" spans="1:10" ht="21">
      <c r="A71" s="232" t="s">
        <v>33</v>
      </c>
      <c r="B71" s="233"/>
      <c r="C71" s="234"/>
      <c r="D71" s="234"/>
      <c r="E71" s="158"/>
      <c r="F71" s="158"/>
      <c r="G71" s="158"/>
      <c r="H71" s="158"/>
      <c r="I71" s="158"/>
      <c r="J71" s="158"/>
    </row>
    <row r="72" spans="1:10" ht="21">
      <c r="A72" s="227">
        <v>1</v>
      </c>
      <c r="B72" s="237" t="s">
        <v>253</v>
      </c>
      <c r="C72" s="238">
        <v>0</v>
      </c>
      <c r="D72" s="238">
        <f>1148.1+13472.9+21443.9</f>
        <v>36064.9</v>
      </c>
      <c r="E72" s="158"/>
      <c r="F72" s="158"/>
      <c r="G72" s="160"/>
      <c r="H72" s="158"/>
      <c r="I72" s="158"/>
      <c r="J72" s="158"/>
    </row>
    <row r="73" spans="1:10" ht="21">
      <c r="A73" s="227">
        <v>2</v>
      </c>
      <c r="B73" s="237" t="s">
        <v>168</v>
      </c>
      <c r="C73" s="238">
        <v>877.81</v>
      </c>
      <c r="D73" s="238">
        <f>3767.28+10236.96+13045.09+28126.85+9600.43+12017.14+4762.66+2623.54+404.68+877.81</f>
        <v>85462.43999999999</v>
      </c>
      <c r="E73" s="158"/>
      <c r="F73" s="158"/>
      <c r="G73" s="160"/>
      <c r="H73" s="158"/>
      <c r="I73" s="158"/>
      <c r="J73" s="158"/>
    </row>
    <row r="74" spans="1:10" ht="21">
      <c r="A74" s="227">
        <v>3</v>
      </c>
      <c r="B74" s="237" t="s">
        <v>266</v>
      </c>
      <c r="C74" s="238">
        <v>0</v>
      </c>
      <c r="D74" s="238">
        <f>200+200</f>
        <v>400</v>
      </c>
      <c r="E74" s="158"/>
      <c r="F74" s="158"/>
      <c r="G74" s="160"/>
      <c r="H74" s="158"/>
      <c r="I74" s="158"/>
      <c r="J74" s="158"/>
    </row>
    <row r="75" spans="1:10" ht="21">
      <c r="A75" s="227">
        <v>4</v>
      </c>
      <c r="B75" s="237" t="s">
        <v>183</v>
      </c>
      <c r="C75" s="238">
        <v>751555.3</v>
      </c>
      <c r="D75" s="238">
        <f>686285.04+774151.93+789237.38+824597.71+751555.3</f>
        <v>3825827.3600000003</v>
      </c>
      <c r="E75" s="158"/>
      <c r="F75" s="158"/>
      <c r="G75" s="160"/>
      <c r="H75" s="158"/>
      <c r="I75" s="158"/>
      <c r="J75" s="158"/>
    </row>
    <row r="76" spans="1:10" ht="21">
      <c r="A76" s="227">
        <v>5</v>
      </c>
      <c r="B76" s="237" t="s">
        <v>184</v>
      </c>
      <c r="C76" s="238">
        <v>108706.21</v>
      </c>
      <c r="D76" s="238">
        <f>116606.8+117695.63+130830.49+126786.67+91441.88+157843.66+81898.09+136997.21+98850.26+108706.21</f>
        <v>1167656.9</v>
      </c>
      <c r="E76" s="158"/>
      <c r="F76" s="158"/>
      <c r="G76" s="160"/>
      <c r="H76" s="158"/>
      <c r="I76" s="158"/>
      <c r="J76" s="158"/>
    </row>
    <row r="77" spans="1:10" ht="21">
      <c r="A77" s="227">
        <v>6</v>
      </c>
      <c r="B77" s="237" t="s">
        <v>279</v>
      </c>
      <c r="C77" s="238">
        <v>0</v>
      </c>
      <c r="D77" s="238">
        <v>4772.93</v>
      </c>
      <c r="E77" s="158"/>
      <c r="F77" s="158"/>
      <c r="G77" s="160"/>
      <c r="H77" s="158"/>
      <c r="I77" s="158"/>
      <c r="J77" s="158"/>
    </row>
    <row r="78" spans="1:10" ht="21">
      <c r="A78" s="227">
        <v>7</v>
      </c>
      <c r="B78" s="237" t="s">
        <v>169</v>
      </c>
      <c r="C78" s="238">
        <v>63268.15</v>
      </c>
      <c r="D78" s="238">
        <f>51144.17+54134.89+66010.17+74039.79+64171.43+64642.81+83922.93+62340.78+52036.32+63268.15</f>
        <v>635711.44</v>
      </c>
      <c r="E78" s="158"/>
      <c r="F78" s="158"/>
      <c r="G78" s="160"/>
      <c r="H78" s="158"/>
      <c r="I78" s="158"/>
      <c r="J78" s="158"/>
    </row>
    <row r="79" spans="1:10" ht="21">
      <c r="A79" s="227">
        <v>8</v>
      </c>
      <c r="B79" s="237" t="s">
        <v>170</v>
      </c>
      <c r="C79" s="238">
        <v>171104.09</v>
      </c>
      <c r="D79" s="238">
        <f>149588.32+170104.18+155419.16+177227.88+178348.27+157794.81+181886.25+190069.01+159973.47+171104.09</f>
        <v>1691515.4400000002</v>
      </c>
      <c r="E79" s="158"/>
      <c r="F79" s="158"/>
      <c r="G79" s="160"/>
      <c r="H79" s="158"/>
      <c r="I79" s="158"/>
      <c r="J79" s="158"/>
    </row>
    <row r="80" spans="1:10" ht="21">
      <c r="A80" s="227">
        <v>9</v>
      </c>
      <c r="B80" s="237" t="s">
        <v>248</v>
      </c>
      <c r="C80" s="242">
        <v>0</v>
      </c>
      <c r="D80" s="242">
        <f>16099.22+23985.09</f>
        <v>40084.31</v>
      </c>
      <c r="E80" s="158"/>
      <c r="F80" s="158"/>
      <c r="G80" s="160"/>
      <c r="H80" s="158"/>
      <c r="I80" s="158"/>
      <c r="J80" s="158"/>
    </row>
    <row r="81" spans="1:10" ht="21">
      <c r="A81" s="227">
        <v>10</v>
      </c>
      <c r="B81" s="237" t="s">
        <v>249</v>
      </c>
      <c r="C81" s="242">
        <v>0</v>
      </c>
      <c r="D81" s="242">
        <f>8047.84+8638.89+9241.64</f>
        <v>25928.37</v>
      </c>
      <c r="E81" s="158"/>
      <c r="F81" s="158"/>
      <c r="G81" s="160"/>
      <c r="H81" s="158"/>
      <c r="I81" s="158"/>
      <c r="J81" s="158"/>
    </row>
    <row r="82" spans="1:10" ht="21">
      <c r="A82" s="227">
        <v>11</v>
      </c>
      <c r="B82" s="237" t="s">
        <v>171</v>
      </c>
      <c r="C82" s="242">
        <v>42829</v>
      </c>
      <c r="D82" s="242">
        <f>14962+24707+22458+39455+30277+55838+46267+37889+31223+42829</f>
        <v>345905</v>
      </c>
      <c r="E82" s="158"/>
      <c r="F82" s="158"/>
      <c r="G82" s="160"/>
      <c r="H82" s="158"/>
      <c r="I82" s="158"/>
      <c r="J82" s="158"/>
    </row>
    <row r="83" spans="1:10" ht="21">
      <c r="A83" s="237"/>
      <c r="B83" s="239"/>
      <c r="C83" s="244">
        <f>SUM(C72:C82)</f>
        <v>1138340.56</v>
      </c>
      <c r="D83" s="244">
        <f>SUM(D72:D82)</f>
        <v>7859329.089999999</v>
      </c>
      <c r="E83" s="158"/>
      <c r="F83" s="158"/>
      <c r="G83" s="161"/>
      <c r="H83" s="158"/>
      <c r="I83" s="158"/>
      <c r="J83" s="158"/>
    </row>
    <row r="84" spans="1:10" ht="21">
      <c r="A84" s="240" t="s">
        <v>34</v>
      </c>
      <c r="B84" s="239"/>
      <c r="C84" s="243"/>
      <c r="D84" s="243"/>
      <c r="E84" s="158"/>
      <c r="F84" s="158"/>
      <c r="G84" s="160"/>
      <c r="H84" s="158"/>
      <c r="I84" s="158"/>
      <c r="J84" s="158"/>
    </row>
    <row r="85" spans="1:10" ht="21">
      <c r="A85" s="227">
        <v>1</v>
      </c>
      <c r="B85" s="237" t="s">
        <v>267</v>
      </c>
      <c r="C85" s="238">
        <v>0</v>
      </c>
      <c r="D85" s="238">
        <f>150.35+20.37</f>
        <v>170.72</v>
      </c>
      <c r="E85" s="158"/>
      <c r="F85" s="158"/>
      <c r="G85" s="160"/>
      <c r="H85" s="158"/>
      <c r="I85" s="158"/>
      <c r="J85" s="158"/>
    </row>
    <row r="86" spans="1:10" ht="21">
      <c r="A86" s="227">
        <v>2</v>
      </c>
      <c r="B86" s="237" t="s">
        <v>185</v>
      </c>
      <c r="C86" s="238">
        <v>0</v>
      </c>
      <c r="D86" s="238">
        <f>225+1200+150</f>
        <v>1575</v>
      </c>
      <c r="E86" s="158"/>
      <c r="F86" s="158"/>
      <c r="G86" s="160"/>
      <c r="H86" s="158"/>
      <c r="I86" s="158"/>
      <c r="J86" s="158"/>
    </row>
    <row r="87" spans="1:10" ht="21">
      <c r="A87" s="227">
        <v>3</v>
      </c>
      <c r="B87" s="237" t="s">
        <v>281</v>
      </c>
      <c r="C87" s="238">
        <v>1500</v>
      </c>
      <c r="D87" s="238">
        <f>440+700+1500</f>
        <v>2640</v>
      </c>
      <c r="E87" s="158"/>
      <c r="F87" s="158"/>
      <c r="G87" s="160"/>
      <c r="H87" s="158"/>
      <c r="I87" s="158"/>
      <c r="J87" s="158"/>
    </row>
    <row r="88" spans="1:10" ht="21">
      <c r="A88" s="227">
        <v>4</v>
      </c>
      <c r="B88" s="237" t="s">
        <v>186</v>
      </c>
      <c r="C88" s="238">
        <v>1520</v>
      </c>
      <c r="D88" s="238">
        <f>7980+6080+2660+2280+14190+14180+3800+5320+3040+1520</f>
        <v>61050</v>
      </c>
      <c r="E88" s="158"/>
      <c r="F88" s="158"/>
      <c r="G88" s="161"/>
      <c r="H88" s="158"/>
      <c r="I88" s="158"/>
      <c r="J88" s="158"/>
    </row>
    <row r="89" spans="1:10" ht="21">
      <c r="A89" s="227">
        <v>5</v>
      </c>
      <c r="B89" s="237" t="s">
        <v>187</v>
      </c>
      <c r="C89" s="242">
        <v>2210</v>
      </c>
      <c r="D89" s="242">
        <f>1005+1070+1065+1390+1440+1665+1770+1900+2005+2210</f>
        <v>15520</v>
      </c>
      <c r="E89" s="158"/>
      <c r="F89" s="158"/>
      <c r="G89" s="161"/>
      <c r="H89" s="158"/>
      <c r="I89" s="158"/>
      <c r="J89" s="158"/>
    </row>
    <row r="90" spans="1:10" ht="21">
      <c r="A90" s="237"/>
      <c r="B90" s="239"/>
      <c r="C90" s="244">
        <f>SUM(C85:C89)</f>
        <v>5230</v>
      </c>
      <c r="D90" s="244">
        <f>SUM(D85:D89)</f>
        <v>80955.72</v>
      </c>
      <c r="E90" s="158"/>
      <c r="F90" s="158"/>
      <c r="G90" s="161"/>
      <c r="H90" s="158"/>
      <c r="I90" s="158"/>
      <c r="J90" s="158"/>
    </row>
    <row r="91" spans="1:10" ht="21">
      <c r="A91" s="240" t="s">
        <v>35</v>
      </c>
      <c r="B91" s="239"/>
      <c r="C91" s="243"/>
      <c r="D91" s="243"/>
      <c r="E91" s="158"/>
      <c r="F91" s="158"/>
      <c r="G91" s="161"/>
      <c r="H91" s="158"/>
      <c r="I91" s="158"/>
      <c r="J91" s="158"/>
    </row>
    <row r="92" spans="1:10" ht="21">
      <c r="A92" s="227">
        <v>1</v>
      </c>
      <c r="B92" s="404" t="s">
        <v>276</v>
      </c>
      <c r="C92" s="245">
        <v>0</v>
      </c>
      <c r="D92" s="245">
        <v>6433.94</v>
      </c>
      <c r="E92" s="158"/>
      <c r="F92" s="158"/>
      <c r="G92" s="161"/>
      <c r="H92" s="158"/>
      <c r="I92" s="158"/>
      <c r="J92" s="158"/>
    </row>
    <row r="93" spans="1:10" ht="21">
      <c r="A93" s="237"/>
      <c r="B93" s="239"/>
      <c r="C93" s="244">
        <f>SUM(C92)</f>
        <v>0</v>
      </c>
      <c r="D93" s="244">
        <f>SUM(D92)</f>
        <v>6433.94</v>
      </c>
      <c r="E93" s="158"/>
      <c r="F93" s="158"/>
      <c r="G93" s="161"/>
      <c r="H93" s="158"/>
      <c r="I93" s="158"/>
      <c r="J93" s="158"/>
    </row>
    <row r="94" spans="1:10" ht="21">
      <c r="A94" s="240" t="s">
        <v>36</v>
      </c>
      <c r="B94" s="239"/>
      <c r="C94" s="243"/>
      <c r="D94" s="243"/>
      <c r="E94" s="158"/>
      <c r="F94" s="158"/>
      <c r="G94" s="161"/>
      <c r="H94" s="158"/>
      <c r="I94" s="158"/>
      <c r="J94" s="158"/>
    </row>
    <row r="95" spans="1:10" ht="21">
      <c r="A95" s="227">
        <v>1</v>
      </c>
      <c r="B95" s="237" t="s">
        <v>188</v>
      </c>
      <c r="C95" s="245">
        <v>18396</v>
      </c>
      <c r="D95" s="245">
        <f>9756+7672+10176+11472+13605+18364+21272+23312+21624+18396</f>
        <v>155649</v>
      </c>
      <c r="E95" s="158"/>
      <c r="F95" s="158"/>
      <c r="G95" s="161"/>
      <c r="H95" s="158"/>
      <c r="I95" s="158"/>
      <c r="J95" s="158"/>
    </row>
    <row r="96" spans="1:10" ht="21">
      <c r="A96" s="227"/>
      <c r="B96" s="237"/>
      <c r="C96" s="244">
        <f>SUM(C95)</f>
        <v>18396</v>
      </c>
      <c r="D96" s="244">
        <f>SUM(D95)</f>
        <v>155649</v>
      </c>
      <c r="E96" s="158"/>
      <c r="F96" s="158"/>
      <c r="G96" s="161"/>
      <c r="H96" s="158"/>
      <c r="I96" s="158"/>
      <c r="J96" s="158"/>
    </row>
    <row r="97" spans="1:10" ht="21">
      <c r="A97" s="240" t="s">
        <v>37</v>
      </c>
      <c r="B97" s="239"/>
      <c r="C97" s="243"/>
      <c r="D97" s="243"/>
      <c r="E97" s="158"/>
      <c r="F97" s="158"/>
      <c r="G97" s="161"/>
      <c r="H97" s="158"/>
      <c r="I97" s="158"/>
      <c r="J97" s="158"/>
    </row>
    <row r="98" spans="1:10" ht="21">
      <c r="A98" s="227">
        <v>1</v>
      </c>
      <c r="B98" s="237" t="s">
        <v>268</v>
      </c>
      <c r="C98" s="245">
        <v>0</v>
      </c>
      <c r="D98" s="245">
        <v>11700</v>
      </c>
      <c r="E98" s="158"/>
      <c r="F98" s="158"/>
      <c r="G98" s="161"/>
      <c r="H98" s="158"/>
      <c r="I98" s="158"/>
      <c r="J98" s="158"/>
    </row>
    <row r="99" spans="1:10" ht="21">
      <c r="A99" s="227">
        <v>2</v>
      </c>
      <c r="B99" s="237" t="s">
        <v>37</v>
      </c>
      <c r="C99" s="245">
        <v>0</v>
      </c>
      <c r="D99" s="245">
        <v>400</v>
      </c>
      <c r="E99" s="158"/>
      <c r="F99" s="158"/>
      <c r="G99" s="161"/>
      <c r="H99" s="158"/>
      <c r="I99" s="158"/>
      <c r="J99" s="158"/>
    </row>
    <row r="100" spans="1:10" ht="21">
      <c r="A100" s="237"/>
      <c r="B100" s="239"/>
      <c r="C100" s="244">
        <f>SUM(C98)</f>
        <v>0</v>
      </c>
      <c r="D100" s="244">
        <f>SUM(D98:D99)</f>
        <v>12100</v>
      </c>
      <c r="E100" s="158"/>
      <c r="F100" s="158"/>
      <c r="G100" s="161"/>
      <c r="H100" s="158"/>
      <c r="I100" s="158"/>
      <c r="J100" s="158"/>
    </row>
    <row r="101" spans="1:10" ht="21">
      <c r="A101" s="511" t="s">
        <v>75</v>
      </c>
      <c r="B101" s="511"/>
      <c r="C101" s="511"/>
      <c r="D101" s="511"/>
      <c r="E101" s="158"/>
      <c r="F101" s="158"/>
      <c r="G101" s="161"/>
      <c r="H101" s="158"/>
      <c r="I101" s="158"/>
      <c r="J101" s="158"/>
    </row>
    <row r="102" spans="1:10" ht="21">
      <c r="A102" s="226" t="s">
        <v>162</v>
      </c>
      <c r="B102" s="226" t="s">
        <v>28</v>
      </c>
      <c r="C102" s="226" t="s">
        <v>25</v>
      </c>
      <c r="D102" s="226" t="s">
        <v>167</v>
      </c>
      <c r="E102" s="158"/>
      <c r="F102" s="158"/>
      <c r="G102" s="158"/>
      <c r="H102" s="158"/>
      <c r="I102" s="158"/>
      <c r="J102" s="158"/>
    </row>
    <row r="103" spans="1:10" ht="21">
      <c r="A103" s="240" t="s">
        <v>146</v>
      </c>
      <c r="B103" s="239"/>
      <c r="C103" s="246"/>
      <c r="D103" s="246"/>
      <c r="E103" s="158"/>
      <c r="F103" s="158"/>
      <c r="G103" s="160"/>
      <c r="H103" s="158"/>
      <c r="I103" s="158"/>
      <c r="J103" s="158"/>
    </row>
    <row r="104" spans="1:10" ht="21">
      <c r="A104" s="227">
        <v>1</v>
      </c>
      <c r="B104" s="237" t="s">
        <v>250</v>
      </c>
      <c r="C104" s="242">
        <v>0</v>
      </c>
      <c r="D104" s="242">
        <f>2004326+3969516</f>
        <v>5973842</v>
      </c>
      <c r="E104" s="158"/>
      <c r="F104" s="158"/>
      <c r="G104" s="161"/>
      <c r="H104" s="158"/>
      <c r="I104" s="158"/>
      <c r="J104" s="158"/>
    </row>
    <row r="105" spans="1:10" ht="21">
      <c r="A105" s="227"/>
      <c r="B105" s="237"/>
      <c r="C105" s="332">
        <f>SUM(C104)</f>
        <v>0</v>
      </c>
      <c r="D105" s="332">
        <f>SUM(D104)</f>
        <v>5973842</v>
      </c>
      <c r="E105" s="158"/>
      <c r="F105" s="158"/>
      <c r="G105" s="161"/>
      <c r="H105" s="158"/>
      <c r="I105" s="158"/>
      <c r="J105" s="158"/>
    </row>
    <row r="106" spans="1:10" ht="21">
      <c r="A106" s="319" t="s">
        <v>203</v>
      </c>
      <c r="B106" s="246"/>
      <c r="C106" s="246"/>
      <c r="D106" s="246"/>
      <c r="E106" s="158"/>
      <c r="F106" s="158"/>
      <c r="G106" s="160"/>
      <c r="H106" s="158"/>
      <c r="I106" s="158"/>
      <c r="J106" s="158"/>
    </row>
    <row r="107" spans="1:10" ht="21">
      <c r="A107" s="227">
        <v>1</v>
      </c>
      <c r="B107" s="237" t="s">
        <v>189</v>
      </c>
      <c r="C107" s="242">
        <v>0</v>
      </c>
      <c r="D107" s="242">
        <v>1795000</v>
      </c>
      <c r="E107" s="158"/>
      <c r="F107" s="158"/>
      <c r="G107" s="161"/>
      <c r="H107" s="158"/>
      <c r="I107" s="158"/>
      <c r="J107" s="158"/>
    </row>
    <row r="108" spans="1:10" ht="21">
      <c r="A108" s="227">
        <v>2</v>
      </c>
      <c r="B108" s="237" t="s">
        <v>296</v>
      </c>
      <c r="C108" s="242">
        <v>1728000</v>
      </c>
      <c r="D108" s="242">
        <v>1728000</v>
      </c>
      <c r="E108" s="158"/>
      <c r="F108" s="158"/>
      <c r="G108" s="161"/>
      <c r="H108" s="158"/>
      <c r="I108" s="158"/>
      <c r="J108" s="158"/>
    </row>
    <row r="109" spans="1:10" ht="21">
      <c r="A109" s="227">
        <v>3</v>
      </c>
      <c r="B109" s="237" t="s">
        <v>297</v>
      </c>
      <c r="C109" s="242">
        <v>1006000</v>
      </c>
      <c r="D109" s="242">
        <v>1006000</v>
      </c>
      <c r="E109" s="158"/>
      <c r="F109" s="158"/>
      <c r="G109" s="161"/>
      <c r="H109" s="158"/>
      <c r="I109" s="158"/>
      <c r="J109" s="158"/>
    </row>
    <row r="110" spans="1:10" ht="21">
      <c r="A110" s="227">
        <v>4</v>
      </c>
      <c r="B110" s="237" t="s">
        <v>182</v>
      </c>
      <c r="C110" s="242">
        <v>0</v>
      </c>
      <c r="D110" s="242">
        <v>16800</v>
      </c>
      <c r="E110" s="158"/>
      <c r="F110" s="158"/>
      <c r="G110" s="161"/>
      <c r="H110" s="158"/>
      <c r="I110" s="158"/>
      <c r="J110" s="158"/>
    </row>
    <row r="111" spans="1:10" ht="21">
      <c r="A111" s="227">
        <v>5</v>
      </c>
      <c r="B111" s="237" t="s">
        <v>277</v>
      </c>
      <c r="C111" s="242">
        <v>0</v>
      </c>
      <c r="D111" s="242">
        <v>12000</v>
      </c>
      <c r="E111" s="158"/>
      <c r="F111" s="158"/>
      <c r="G111" s="161"/>
      <c r="H111" s="158"/>
      <c r="I111" s="158"/>
      <c r="J111" s="158"/>
    </row>
    <row r="112" spans="1:10" ht="21">
      <c r="A112" s="227">
        <v>6</v>
      </c>
      <c r="B112" s="237" t="s">
        <v>240</v>
      </c>
      <c r="C112" s="242">
        <v>1033500</v>
      </c>
      <c r="D112" s="242">
        <f>2100000+1042500+1033500</f>
        <v>4176000</v>
      </c>
      <c r="E112" s="158"/>
      <c r="F112" s="158"/>
      <c r="G112" s="161"/>
      <c r="H112" s="158"/>
      <c r="I112" s="158"/>
      <c r="J112" s="158"/>
    </row>
    <row r="113" spans="1:10" ht="21">
      <c r="A113" s="227">
        <v>7</v>
      </c>
      <c r="B113" s="237" t="s">
        <v>280</v>
      </c>
      <c r="C113" s="242">
        <v>0</v>
      </c>
      <c r="D113" s="242">
        <v>165000</v>
      </c>
      <c r="E113" s="158"/>
      <c r="F113" s="158"/>
      <c r="G113" s="161"/>
      <c r="H113" s="158"/>
      <c r="I113" s="158"/>
      <c r="J113" s="158"/>
    </row>
    <row r="114" spans="1:10" ht="21">
      <c r="A114" s="227">
        <v>8</v>
      </c>
      <c r="B114" s="237" t="s">
        <v>295</v>
      </c>
      <c r="C114" s="242">
        <v>109200</v>
      </c>
      <c r="D114" s="242">
        <v>109200</v>
      </c>
      <c r="E114" s="158"/>
      <c r="F114" s="158"/>
      <c r="G114" s="161"/>
      <c r="H114" s="158"/>
      <c r="I114" s="158"/>
      <c r="J114" s="158"/>
    </row>
    <row r="115" spans="1:10" ht="21">
      <c r="A115" s="227">
        <v>9</v>
      </c>
      <c r="B115" s="237" t="s">
        <v>251</v>
      </c>
      <c r="C115" s="317">
        <v>61572</v>
      </c>
      <c r="D115" s="317">
        <f>181197+123144+61572+61572+61572+61572+61572</f>
        <v>612201</v>
      </c>
      <c r="E115" s="158"/>
      <c r="F115" s="158"/>
      <c r="G115" s="161"/>
      <c r="H115" s="158"/>
      <c r="I115" s="158"/>
      <c r="J115" s="158"/>
    </row>
    <row r="116" spans="1:10" ht="21">
      <c r="A116" s="237"/>
      <c r="B116" s="239"/>
      <c r="C116" s="247">
        <f>SUM(C107:C115)</f>
        <v>3938272</v>
      </c>
      <c r="D116" s="247">
        <f>SUM(D107:D115)</f>
        <v>9620201</v>
      </c>
      <c r="E116" s="158"/>
      <c r="F116" s="158"/>
      <c r="G116" s="161"/>
      <c r="H116" s="158"/>
      <c r="I116" s="158"/>
      <c r="J116" s="158"/>
    </row>
    <row r="117" spans="1:10" ht="21.75" thickBot="1">
      <c r="A117" s="235"/>
      <c r="B117" s="236"/>
      <c r="C117" s="241">
        <f>C83+C90+C93+C96+C100+C105+C116</f>
        <v>5100238.5600000005</v>
      </c>
      <c r="D117" s="241">
        <f>D83+D90+D93+D96+D100+D105+D116</f>
        <v>23708510.75</v>
      </c>
      <c r="E117" s="158"/>
      <c r="F117" s="158"/>
      <c r="G117" s="161"/>
      <c r="H117" s="158"/>
      <c r="I117" s="158"/>
      <c r="J117" s="158"/>
    </row>
    <row r="118" spans="1:10" ht="21.75" thickTop="1">
      <c r="A118" s="159"/>
      <c r="B118" s="158"/>
      <c r="C118" s="158"/>
      <c r="D118" s="158"/>
      <c r="E118" s="158"/>
      <c r="F118" s="158"/>
      <c r="G118" s="161"/>
      <c r="H118" s="158"/>
      <c r="I118" s="158"/>
      <c r="J118" s="158"/>
    </row>
    <row r="119" spans="1:10" ht="23.25">
      <c r="A119" s="159"/>
      <c r="B119" s="77"/>
      <c r="C119" s="137" t="s">
        <v>101</v>
      </c>
      <c r="D119" s="77"/>
      <c r="E119" s="158"/>
      <c r="F119" s="158"/>
      <c r="G119" s="161"/>
      <c r="H119" s="158"/>
      <c r="I119" s="158"/>
      <c r="J119" s="158"/>
    </row>
    <row r="120" spans="1:10" ht="23.25">
      <c r="A120" s="159"/>
      <c r="B120" s="77"/>
      <c r="C120" s="77"/>
      <c r="D120" s="77"/>
      <c r="E120" s="158"/>
      <c r="F120" s="158"/>
      <c r="G120" s="161"/>
      <c r="H120" s="158"/>
      <c r="I120" s="158"/>
      <c r="J120" s="158"/>
    </row>
    <row r="121" spans="1:10" ht="23.25">
      <c r="A121" s="159"/>
      <c r="B121" s="77"/>
      <c r="C121" s="137"/>
      <c r="D121" s="77"/>
      <c r="E121" s="158"/>
      <c r="F121" s="158"/>
      <c r="G121" s="161"/>
      <c r="H121" s="158"/>
      <c r="I121" s="158"/>
      <c r="J121" s="158"/>
    </row>
    <row r="122" spans="1:10" ht="23.25">
      <c r="A122" s="159"/>
      <c r="B122" s="77"/>
      <c r="C122" s="137" t="s">
        <v>102</v>
      </c>
      <c r="D122" s="77"/>
      <c r="E122" s="158"/>
      <c r="F122" s="158"/>
      <c r="G122" s="161"/>
      <c r="H122" s="158"/>
      <c r="I122" s="158"/>
      <c r="J122" s="158"/>
    </row>
    <row r="123" spans="1:10" ht="23.25">
      <c r="A123" s="159"/>
      <c r="B123" s="158"/>
      <c r="C123" s="137" t="s">
        <v>100</v>
      </c>
      <c r="D123" s="158"/>
      <c r="E123" s="158"/>
      <c r="F123" s="158"/>
      <c r="G123" s="160"/>
      <c r="H123" s="158"/>
      <c r="I123" s="158"/>
      <c r="J123" s="158"/>
    </row>
    <row r="124" ht="21">
      <c r="F124" s="93"/>
    </row>
    <row r="126" ht="21">
      <c r="F126" s="93"/>
    </row>
    <row r="127" ht="21">
      <c r="F127" s="93"/>
    </row>
    <row r="128" ht="21">
      <c r="F128" s="93"/>
    </row>
    <row r="129" ht="21">
      <c r="F129" s="93"/>
    </row>
    <row r="130" ht="21">
      <c r="F130" s="93"/>
    </row>
    <row r="131" ht="21">
      <c r="F131" s="93"/>
    </row>
    <row r="132" ht="21">
      <c r="F132" s="93"/>
    </row>
    <row r="133" ht="21">
      <c r="F133" s="93"/>
    </row>
    <row r="134" ht="21">
      <c r="F134" s="93"/>
    </row>
    <row r="135" ht="21">
      <c r="F135" s="93"/>
    </row>
    <row r="136" ht="21">
      <c r="F136" s="93"/>
    </row>
    <row r="137" ht="21">
      <c r="F137" s="93"/>
    </row>
    <row r="138" ht="21">
      <c r="F138" s="93"/>
    </row>
    <row r="139" ht="21">
      <c r="F139" s="93"/>
    </row>
  </sheetData>
  <mergeCells count="13">
    <mergeCell ref="A101:D101"/>
    <mergeCell ref="A66:E66"/>
    <mergeCell ref="A67:E67"/>
    <mergeCell ref="A68:E68"/>
    <mergeCell ref="A69:E69"/>
    <mergeCell ref="A1:E1"/>
    <mergeCell ref="A2:E2"/>
    <mergeCell ref="A3:E3"/>
    <mergeCell ref="A4:E4"/>
    <mergeCell ref="A34:E34"/>
    <mergeCell ref="A35:E35"/>
    <mergeCell ref="A36:E36"/>
    <mergeCell ref="A37:E37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"/>
  <sheetViews>
    <sheetView view="pageBreakPreview" zoomScaleSheetLayoutView="100" workbookViewId="0" topLeftCell="F130">
      <selection activeCell="N142" sqref="N142"/>
    </sheetView>
  </sheetViews>
  <sheetFormatPr defaultColWidth="9.140625" defaultRowHeight="21.75"/>
  <cols>
    <col min="1" max="1" width="16.140625" style="71" bestFit="1" customWidth="1"/>
    <col min="2" max="3" width="11.140625" style="71" customWidth="1"/>
    <col min="4" max="4" width="13.57421875" style="71" customWidth="1"/>
    <col min="5" max="5" width="8.140625" style="71" customWidth="1"/>
    <col min="6" max="6" width="11.140625" style="71" customWidth="1"/>
    <col min="7" max="7" width="9.8515625" style="71" customWidth="1"/>
    <col min="8" max="10" width="11.140625" style="71" customWidth="1"/>
    <col min="11" max="15" width="9.8515625" style="71" customWidth="1"/>
    <col min="16" max="16" width="11.140625" style="71" bestFit="1" customWidth="1"/>
    <col min="17" max="17" width="12.00390625" style="71" bestFit="1" customWidth="1"/>
    <col min="18" max="18" width="9.140625" style="71" customWidth="1"/>
    <col min="19" max="19" width="12.00390625" style="71" bestFit="1" customWidth="1"/>
    <col min="20" max="16384" width="9.140625" style="71" customWidth="1"/>
  </cols>
  <sheetData>
    <row r="1" spans="1:17" ht="23.25">
      <c r="A1" s="515" t="s">
        <v>14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</row>
    <row r="2" spans="1:17" ht="23.25">
      <c r="A2" s="515" t="s">
        <v>15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</row>
    <row r="3" spans="1:17" ht="24" thickBot="1">
      <c r="A3" s="516" t="s">
        <v>299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1:17" s="62" customFormat="1" ht="18.75">
      <c r="A4" s="57" t="s">
        <v>16</v>
      </c>
      <c r="B4" s="512" t="s">
        <v>82</v>
      </c>
      <c r="C4" s="513"/>
      <c r="D4" s="512" t="s">
        <v>85</v>
      </c>
      <c r="E4" s="513"/>
      <c r="F4" s="58" t="s">
        <v>91</v>
      </c>
      <c r="G4" s="58" t="s">
        <v>92</v>
      </c>
      <c r="H4" s="59" t="s">
        <v>95</v>
      </c>
      <c r="I4" s="512" t="s">
        <v>86</v>
      </c>
      <c r="J4" s="513"/>
      <c r="K4" s="60" t="s">
        <v>96</v>
      </c>
      <c r="L4" s="405"/>
      <c r="M4" s="406" t="s">
        <v>87</v>
      </c>
      <c r="N4" s="60" t="s">
        <v>99</v>
      </c>
      <c r="O4" s="60" t="s">
        <v>115</v>
      </c>
      <c r="P4" s="58" t="s">
        <v>80</v>
      </c>
      <c r="Q4" s="61" t="s">
        <v>17</v>
      </c>
    </row>
    <row r="5" spans="1:17" s="62" customFormat="1" ht="19.5" thickBot="1">
      <c r="A5" s="63" t="s">
        <v>18</v>
      </c>
      <c r="B5" s="65" t="s">
        <v>83</v>
      </c>
      <c r="C5" s="66" t="s">
        <v>84</v>
      </c>
      <c r="D5" s="64" t="s">
        <v>76</v>
      </c>
      <c r="E5" s="64" t="s">
        <v>77</v>
      </c>
      <c r="F5" s="65" t="s">
        <v>90</v>
      </c>
      <c r="G5" s="65" t="s">
        <v>93</v>
      </c>
      <c r="H5" s="68" t="s">
        <v>94</v>
      </c>
      <c r="I5" s="64" t="s">
        <v>78</v>
      </c>
      <c r="J5" s="64" t="s">
        <v>79</v>
      </c>
      <c r="K5" s="69" t="s">
        <v>97</v>
      </c>
      <c r="L5" s="66" t="s">
        <v>88</v>
      </c>
      <c r="M5" s="67" t="s">
        <v>89</v>
      </c>
      <c r="N5" s="69" t="s">
        <v>98</v>
      </c>
      <c r="O5" s="69" t="s">
        <v>116</v>
      </c>
      <c r="P5" s="64" t="s">
        <v>81</v>
      </c>
      <c r="Q5" s="70"/>
    </row>
    <row r="6" spans="1:17" s="185" customFormat="1" ht="21" customHeight="1">
      <c r="A6" s="422" t="s">
        <v>232</v>
      </c>
      <c r="B6" s="410"/>
      <c r="C6" s="411"/>
      <c r="D6" s="410"/>
      <c r="E6" s="410"/>
      <c r="F6" s="411"/>
      <c r="G6" s="411"/>
      <c r="H6" s="423"/>
      <c r="I6" s="410"/>
      <c r="J6" s="410"/>
      <c r="K6" s="424"/>
      <c r="L6" s="410"/>
      <c r="M6" s="423"/>
      <c r="N6" s="424"/>
      <c r="O6" s="424"/>
      <c r="P6" s="410"/>
      <c r="Q6" s="424"/>
    </row>
    <row r="7" spans="1:17" s="185" customFormat="1" ht="21" customHeight="1">
      <c r="A7" s="425" t="s">
        <v>153</v>
      </c>
      <c r="B7" s="412">
        <v>0</v>
      </c>
      <c r="C7" s="426">
        <v>0</v>
      </c>
      <c r="D7" s="412">
        <v>0</v>
      </c>
      <c r="E7" s="412">
        <v>0</v>
      </c>
      <c r="F7" s="412">
        <v>0</v>
      </c>
      <c r="G7" s="412">
        <v>0</v>
      </c>
      <c r="H7" s="412">
        <v>0</v>
      </c>
      <c r="I7" s="412">
        <v>0</v>
      </c>
      <c r="J7" s="412">
        <v>0</v>
      </c>
      <c r="K7" s="412">
        <v>0</v>
      </c>
      <c r="L7" s="412">
        <v>0</v>
      </c>
      <c r="M7" s="412">
        <v>0</v>
      </c>
      <c r="N7" s="412">
        <v>0</v>
      </c>
      <c r="O7" s="412">
        <v>0</v>
      </c>
      <c r="P7" s="216">
        <v>12678</v>
      </c>
      <c r="Q7" s="412">
        <f>SUM(B7:P7)</f>
        <v>12678</v>
      </c>
    </row>
    <row r="8" spans="1:17" s="185" customFormat="1" ht="21" customHeight="1">
      <c r="A8" s="425" t="s">
        <v>226</v>
      </c>
      <c r="B8" s="412">
        <v>0</v>
      </c>
      <c r="C8" s="426">
        <v>0</v>
      </c>
      <c r="D8" s="412">
        <v>0</v>
      </c>
      <c r="E8" s="412">
        <v>0</v>
      </c>
      <c r="F8" s="412">
        <v>0</v>
      </c>
      <c r="G8" s="412">
        <v>0</v>
      </c>
      <c r="H8" s="412">
        <v>0</v>
      </c>
      <c r="I8" s="412">
        <v>0</v>
      </c>
      <c r="J8" s="412">
        <v>0</v>
      </c>
      <c r="K8" s="412">
        <v>0</v>
      </c>
      <c r="L8" s="412">
        <v>0</v>
      </c>
      <c r="M8" s="412">
        <v>0</v>
      </c>
      <c r="N8" s="412">
        <v>0</v>
      </c>
      <c r="O8" s="412">
        <v>0</v>
      </c>
      <c r="P8" s="216">
        <v>57000</v>
      </c>
      <c r="Q8" s="412">
        <f aca="true" t="shared" si="0" ref="Q8:Q14">SUM(B8:P8)</f>
        <v>57000</v>
      </c>
    </row>
    <row r="9" spans="1:17" s="185" customFormat="1" ht="21" customHeight="1">
      <c r="A9" s="425" t="s">
        <v>227</v>
      </c>
      <c r="B9" s="412">
        <v>0</v>
      </c>
      <c r="C9" s="426">
        <v>0</v>
      </c>
      <c r="D9" s="412">
        <v>0</v>
      </c>
      <c r="E9" s="412">
        <v>0</v>
      </c>
      <c r="F9" s="412">
        <v>0</v>
      </c>
      <c r="G9" s="412">
        <v>0</v>
      </c>
      <c r="H9" s="412">
        <v>0</v>
      </c>
      <c r="I9" s="412">
        <v>0</v>
      </c>
      <c r="J9" s="412">
        <v>0</v>
      </c>
      <c r="K9" s="412">
        <v>0</v>
      </c>
      <c r="L9" s="412">
        <v>0</v>
      </c>
      <c r="M9" s="412">
        <v>0</v>
      </c>
      <c r="N9" s="412">
        <v>0</v>
      </c>
      <c r="O9" s="412">
        <v>0</v>
      </c>
      <c r="P9" s="216">
        <v>13500</v>
      </c>
      <c r="Q9" s="412">
        <f t="shared" si="0"/>
        <v>13500</v>
      </c>
    </row>
    <row r="10" spans="1:17" s="185" customFormat="1" ht="21" customHeight="1">
      <c r="A10" s="425" t="s">
        <v>300</v>
      </c>
      <c r="B10" s="412">
        <v>0</v>
      </c>
      <c r="C10" s="426">
        <v>0</v>
      </c>
      <c r="D10" s="412">
        <v>0</v>
      </c>
      <c r="E10" s="412">
        <v>0</v>
      </c>
      <c r="F10" s="412">
        <v>0</v>
      </c>
      <c r="G10" s="412">
        <v>0</v>
      </c>
      <c r="H10" s="412">
        <v>0</v>
      </c>
      <c r="I10" s="412">
        <v>0</v>
      </c>
      <c r="J10" s="412">
        <v>0</v>
      </c>
      <c r="K10" s="412">
        <v>0</v>
      </c>
      <c r="L10" s="412">
        <v>0</v>
      </c>
      <c r="M10" s="412">
        <v>0</v>
      </c>
      <c r="N10" s="412">
        <v>0</v>
      </c>
      <c r="O10" s="412">
        <v>0</v>
      </c>
      <c r="P10" s="216">
        <v>78971.96</v>
      </c>
      <c r="Q10" s="412">
        <f t="shared" si="0"/>
        <v>78971.96</v>
      </c>
    </row>
    <row r="11" spans="1:17" s="185" customFormat="1" ht="21" customHeight="1">
      <c r="A11" s="425" t="s">
        <v>229</v>
      </c>
      <c r="B11" s="412">
        <v>0</v>
      </c>
      <c r="C11" s="426">
        <v>0</v>
      </c>
      <c r="D11" s="412">
        <v>0</v>
      </c>
      <c r="E11" s="412">
        <v>0</v>
      </c>
      <c r="F11" s="412">
        <v>0</v>
      </c>
      <c r="G11" s="412">
        <v>0</v>
      </c>
      <c r="H11" s="412">
        <v>0</v>
      </c>
      <c r="I11" s="412">
        <v>0</v>
      </c>
      <c r="J11" s="412">
        <v>0</v>
      </c>
      <c r="K11" s="412">
        <v>0</v>
      </c>
      <c r="L11" s="412">
        <v>0</v>
      </c>
      <c r="M11" s="412">
        <v>0</v>
      </c>
      <c r="N11" s="412">
        <v>0</v>
      </c>
      <c r="O11" s="412">
        <v>0</v>
      </c>
      <c r="P11" s="216">
        <v>0</v>
      </c>
      <c r="Q11" s="412">
        <f t="shared" si="0"/>
        <v>0</v>
      </c>
    </row>
    <row r="12" spans="1:17" s="185" customFormat="1" ht="21" customHeight="1">
      <c r="A12" s="425" t="s">
        <v>230</v>
      </c>
      <c r="B12" s="412">
        <v>0</v>
      </c>
      <c r="C12" s="426">
        <v>0</v>
      </c>
      <c r="D12" s="412">
        <v>0</v>
      </c>
      <c r="E12" s="412">
        <v>0</v>
      </c>
      <c r="F12" s="412">
        <v>0</v>
      </c>
      <c r="G12" s="412">
        <v>0</v>
      </c>
      <c r="H12" s="412">
        <v>0</v>
      </c>
      <c r="I12" s="412">
        <v>0</v>
      </c>
      <c r="J12" s="412">
        <v>0</v>
      </c>
      <c r="K12" s="412">
        <v>0</v>
      </c>
      <c r="L12" s="412">
        <v>0</v>
      </c>
      <c r="M12" s="412">
        <v>0</v>
      </c>
      <c r="N12" s="412">
        <v>0</v>
      </c>
      <c r="O12" s="412">
        <v>0</v>
      </c>
      <c r="P12" s="216">
        <v>52000</v>
      </c>
      <c r="Q12" s="412">
        <f t="shared" si="0"/>
        <v>52000</v>
      </c>
    </row>
    <row r="13" spans="1:17" s="185" customFormat="1" ht="21" customHeight="1">
      <c r="A13" s="425" t="s">
        <v>231</v>
      </c>
      <c r="B13" s="412">
        <v>0</v>
      </c>
      <c r="C13" s="426">
        <v>0</v>
      </c>
      <c r="D13" s="412">
        <v>0</v>
      </c>
      <c r="E13" s="412">
        <v>0</v>
      </c>
      <c r="F13" s="412">
        <v>0</v>
      </c>
      <c r="G13" s="412">
        <v>0</v>
      </c>
      <c r="H13" s="412">
        <v>0</v>
      </c>
      <c r="I13" s="412">
        <v>0</v>
      </c>
      <c r="J13" s="412">
        <v>0</v>
      </c>
      <c r="K13" s="412">
        <v>0</v>
      </c>
      <c r="L13" s="412">
        <v>0</v>
      </c>
      <c r="M13" s="412">
        <v>0</v>
      </c>
      <c r="N13" s="412">
        <v>0</v>
      </c>
      <c r="O13" s="412">
        <v>0</v>
      </c>
      <c r="P13" s="216">
        <v>0</v>
      </c>
      <c r="Q13" s="412">
        <f t="shared" si="0"/>
        <v>0</v>
      </c>
    </row>
    <row r="14" spans="1:17" s="429" customFormat="1" ht="18">
      <c r="A14" s="72" t="s">
        <v>19</v>
      </c>
      <c r="B14" s="73">
        <f aca="true" t="shared" si="1" ref="B14:O14">SUM(B7:B13)</f>
        <v>0</v>
      </c>
      <c r="C14" s="73">
        <f t="shared" si="1"/>
        <v>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>SUM(P7:P13)</f>
        <v>214149.96000000002</v>
      </c>
      <c r="Q14" s="74">
        <f t="shared" si="0"/>
        <v>214149.96000000002</v>
      </c>
    </row>
    <row r="15" spans="1:17" s="430" customFormat="1" ht="18">
      <c r="A15" s="72" t="s">
        <v>20</v>
      </c>
      <c r="B15" s="73">
        <f>0</f>
        <v>0</v>
      </c>
      <c r="C15" s="73">
        <f>0</f>
        <v>0</v>
      </c>
      <c r="D15" s="73">
        <f>0</f>
        <v>0</v>
      </c>
      <c r="E15" s="73">
        <f>0</f>
        <v>0</v>
      </c>
      <c r="F15" s="73">
        <f>0</f>
        <v>0</v>
      </c>
      <c r="G15" s="73">
        <f>0</f>
        <v>0</v>
      </c>
      <c r="H15" s="73">
        <f>0</f>
        <v>0</v>
      </c>
      <c r="I15" s="73">
        <f>0</f>
        <v>0</v>
      </c>
      <c r="J15" s="73">
        <f>0</f>
        <v>0</v>
      </c>
      <c r="K15" s="73">
        <f>0</f>
        <v>0</v>
      </c>
      <c r="L15" s="73">
        <f>0</f>
        <v>0</v>
      </c>
      <c r="M15" s="73">
        <f>0</f>
        <v>0</v>
      </c>
      <c r="N15" s="73">
        <f>0</f>
        <v>0</v>
      </c>
      <c r="O15" s="73">
        <f>0</f>
        <v>0</v>
      </c>
      <c r="P15" s="73">
        <f>88081+151588.79+518013+138178+137178+135678+226369-88081+223397.63+214149.96</f>
        <v>1744552.38</v>
      </c>
      <c r="Q15" s="74">
        <f>SUM(B15:P15)</f>
        <v>1744552.38</v>
      </c>
    </row>
    <row r="16" spans="1:17" s="185" customFormat="1" ht="21" customHeight="1">
      <c r="A16" s="414">
        <v>521000</v>
      </c>
      <c r="B16" s="74"/>
      <c r="C16" s="416"/>
      <c r="D16" s="74"/>
      <c r="E16" s="74"/>
      <c r="F16" s="416"/>
      <c r="G16" s="416"/>
      <c r="H16" s="74"/>
      <c r="I16" s="74"/>
      <c r="J16" s="74"/>
      <c r="K16" s="412"/>
      <c r="L16" s="74"/>
      <c r="M16" s="74"/>
      <c r="N16" s="412"/>
      <c r="O16" s="412"/>
      <c r="P16" s="73"/>
      <c r="Q16" s="412"/>
    </row>
    <row r="17" spans="1:17" s="185" customFormat="1" ht="21" customHeight="1">
      <c r="A17" s="413">
        <v>210100</v>
      </c>
      <c r="B17" s="216">
        <v>17200</v>
      </c>
      <c r="C17" s="216">
        <v>0</v>
      </c>
      <c r="D17" s="216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412">
        <f>SUM(B17:P17)</f>
        <v>17200</v>
      </c>
    </row>
    <row r="18" spans="1:17" s="185" customFormat="1" ht="21" customHeight="1">
      <c r="A18" s="413">
        <v>210200</v>
      </c>
      <c r="B18" s="216">
        <v>3200</v>
      </c>
      <c r="C18" s="216">
        <v>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412">
        <f aca="true" t="shared" si="2" ref="Q18:Q23">SUM(B18:P18)</f>
        <v>3200</v>
      </c>
    </row>
    <row r="19" spans="1:17" s="185" customFormat="1" ht="21" customHeight="1">
      <c r="A19" s="413">
        <v>210300</v>
      </c>
      <c r="B19" s="216">
        <v>3200</v>
      </c>
      <c r="C19" s="216">
        <v>0</v>
      </c>
      <c r="D19" s="216">
        <v>0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216">
        <v>0</v>
      </c>
      <c r="Q19" s="412">
        <f t="shared" si="2"/>
        <v>3200</v>
      </c>
    </row>
    <row r="20" spans="1:17" s="185" customFormat="1" ht="21" customHeight="1">
      <c r="A20" s="413">
        <v>210400</v>
      </c>
      <c r="B20" s="216">
        <v>0</v>
      </c>
      <c r="C20" s="216">
        <v>0</v>
      </c>
      <c r="D20" s="216">
        <v>0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412">
        <f t="shared" si="2"/>
        <v>0</v>
      </c>
    </row>
    <row r="21" spans="1:17" s="185" customFormat="1" ht="21" customHeight="1">
      <c r="A21" s="413">
        <v>210600</v>
      </c>
      <c r="B21" s="216">
        <v>79640.32</v>
      </c>
      <c r="C21" s="216">
        <v>0</v>
      </c>
      <c r="D21" s="216">
        <v>0</v>
      </c>
      <c r="E21" s="216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412">
        <f t="shared" si="2"/>
        <v>79640.32</v>
      </c>
    </row>
    <row r="22" spans="1:17" s="429" customFormat="1" ht="18">
      <c r="A22" s="72" t="s">
        <v>19</v>
      </c>
      <c r="B22" s="73">
        <f aca="true" t="shared" si="3" ref="B22:O22">SUM(B17:B21)</f>
        <v>103240.32</v>
      </c>
      <c r="C22" s="73">
        <f t="shared" si="3"/>
        <v>0</v>
      </c>
      <c r="D22" s="73">
        <f t="shared" si="3"/>
        <v>0</v>
      </c>
      <c r="E22" s="73">
        <f t="shared" si="3"/>
        <v>0</v>
      </c>
      <c r="F22" s="73">
        <f t="shared" si="3"/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  <c r="M22" s="73">
        <f t="shared" si="3"/>
        <v>0</v>
      </c>
      <c r="N22" s="73">
        <f t="shared" si="3"/>
        <v>0</v>
      </c>
      <c r="O22" s="73">
        <f t="shared" si="3"/>
        <v>0</v>
      </c>
      <c r="P22" s="73">
        <f>SUM(P17:P21)</f>
        <v>0</v>
      </c>
      <c r="Q22" s="74">
        <f t="shared" si="2"/>
        <v>103240.32</v>
      </c>
    </row>
    <row r="23" spans="1:17" s="430" customFormat="1" ht="18">
      <c r="A23" s="72" t="s">
        <v>20</v>
      </c>
      <c r="B23" s="73">
        <f>112250+112250+112250+107350+107350+107350+107350+107350+107350+103240.32</f>
        <v>1084090.32</v>
      </c>
      <c r="C23" s="73">
        <v>0</v>
      </c>
      <c r="D23" s="73">
        <f>0</f>
        <v>0</v>
      </c>
      <c r="E23" s="73">
        <f>0</f>
        <v>0</v>
      </c>
      <c r="F23" s="73">
        <f>0</f>
        <v>0</v>
      </c>
      <c r="G23" s="73">
        <f>0</f>
        <v>0</v>
      </c>
      <c r="H23" s="73">
        <f>0</f>
        <v>0</v>
      </c>
      <c r="I23" s="73">
        <v>0</v>
      </c>
      <c r="J23" s="73">
        <f>0</f>
        <v>0</v>
      </c>
      <c r="K23" s="73">
        <f>0</f>
        <v>0</v>
      </c>
      <c r="L23" s="73">
        <f>0</f>
        <v>0</v>
      </c>
      <c r="M23" s="73">
        <f>0</f>
        <v>0</v>
      </c>
      <c r="N23" s="73">
        <f>0</f>
        <v>0</v>
      </c>
      <c r="O23" s="73">
        <f>0</f>
        <v>0</v>
      </c>
      <c r="P23" s="73">
        <f>0</f>
        <v>0</v>
      </c>
      <c r="Q23" s="74">
        <f t="shared" si="2"/>
        <v>1084090.32</v>
      </c>
    </row>
    <row r="24" spans="1:17" s="185" customFormat="1" ht="21" customHeight="1">
      <c r="A24" s="414">
        <v>522000</v>
      </c>
      <c r="B24" s="74"/>
      <c r="C24" s="416"/>
      <c r="D24" s="74"/>
      <c r="E24" s="74"/>
      <c r="F24" s="416"/>
      <c r="G24" s="416"/>
      <c r="H24" s="74"/>
      <c r="I24" s="74"/>
      <c r="J24" s="74"/>
      <c r="K24" s="412"/>
      <c r="L24" s="74"/>
      <c r="M24" s="74"/>
      <c r="N24" s="412"/>
      <c r="O24" s="412"/>
      <c r="P24" s="73"/>
      <c r="Q24" s="412"/>
    </row>
    <row r="25" spans="1:17" s="185" customFormat="1" ht="21" customHeight="1">
      <c r="A25" s="413">
        <v>220100</v>
      </c>
      <c r="B25" s="216">
        <v>72760</v>
      </c>
      <c r="C25" s="216">
        <v>35280</v>
      </c>
      <c r="D25" s="216">
        <v>0</v>
      </c>
      <c r="E25" s="216">
        <v>0</v>
      </c>
      <c r="F25" s="216">
        <v>0</v>
      </c>
      <c r="G25" s="216">
        <v>0</v>
      </c>
      <c r="H25" s="216">
        <v>0</v>
      </c>
      <c r="I25" s="216">
        <v>33140</v>
      </c>
      <c r="J25" s="216">
        <v>0</v>
      </c>
      <c r="K25" s="216">
        <v>0</v>
      </c>
      <c r="L25" s="216">
        <v>0</v>
      </c>
      <c r="M25" s="216">
        <v>0</v>
      </c>
      <c r="N25" s="216">
        <v>0</v>
      </c>
      <c r="O25" s="216">
        <v>0</v>
      </c>
      <c r="P25" s="216">
        <v>0</v>
      </c>
      <c r="Q25" s="412">
        <f aca="true" t="shared" si="4" ref="Q25:Q30">SUM(B25:P25)</f>
        <v>141180</v>
      </c>
    </row>
    <row r="26" spans="1:17" s="185" customFormat="1" ht="21" customHeight="1">
      <c r="A26" s="413">
        <v>220200</v>
      </c>
      <c r="B26" s="216">
        <v>4280</v>
      </c>
      <c r="C26" s="216">
        <v>3000</v>
      </c>
      <c r="D26" s="216">
        <v>0</v>
      </c>
      <c r="E26" s="216">
        <v>0</v>
      </c>
      <c r="F26" s="216">
        <v>0</v>
      </c>
      <c r="G26" s="216">
        <v>0</v>
      </c>
      <c r="H26" s="216">
        <v>0</v>
      </c>
      <c r="I26" s="216">
        <v>3000</v>
      </c>
      <c r="J26" s="216">
        <v>0</v>
      </c>
      <c r="K26" s="216">
        <v>0</v>
      </c>
      <c r="L26" s="216">
        <v>0</v>
      </c>
      <c r="M26" s="216">
        <v>0</v>
      </c>
      <c r="N26" s="216">
        <v>0</v>
      </c>
      <c r="O26" s="216">
        <v>0</v>
      </c>
      <c r="P26" s="216">
        <v>0</v>
      </c>
      <c r="Q26" s="412">
        <f t="shared" si="4"/>
        <v>10280</v>
      </c>
    </row>
    <row r="27" spans="1:17" s="185" customFormat="1" ht="21" customHeight="1">
      <c r="A27" s="413">
        <v>220300</v>
      </c>
      <c r="B27" s="216">
        <v>3500</v>
      </c>
      <c r="C27" s="216">
        <v>0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6">
        <v>0</v>
      </c>
      <c r="O27" s="216">
        <v>0</v>
      </c>
      <c r="P27" s="216">
        <v>0</v>
      </c>
      <c r="Q27" s="412">
        <f t="shared" si="4"/>
        <v>3500</v>
      </c>
    </row>
    <row r="28" spans="1:17" s="185" customFormat="1" ht="21" customHeight="1">
      <c r="A28" s="413">
        <v>220600</v>
      </c>
      <c r="B28" s="216">
        <f>19650+13160</f>
        <v>32810</v>
      </c>
      <c r="C28" s="216">
        <f>19440+300</f>
        <v>19740</v>
      </c>
      <c r="D28" s="216">
        <v>0</v>
      </c>
      <c r="E28" s="216">
        <v>0</v>
      </c>
      <c r="F28" s="216">
        <f>16420+440</f>
        <v>16860</v>
      </c>
      <c r="G28" s="216">
        <v>0</v>
      </c>
      <c r="H28" s="216">
        <v>0</v>
      </c>
      <c r="I28" s="216">
        <f>8200+19740</f>
        <v>27940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412">
        <f t="shared" si="4"/>
        <v>97350</v>
      </c>
    </row>
    <row r="29" spans="1:17" ht="18.75">
      <c r="A29" s="72" t="s">
        <v>19</v>
      </c>
      <c r="B29" s="73">
        <f aca="true" t="shared" si="5" ref="B29:O29">SUM(B25:B28)</f>
        <v>113350</v>
      </c>
      <c r="C29" s="73">
        <f t="shared" si="5"/>
        <v>58020</v>
      </c>
      <c r="D29" s="73">
        <f t="shared" si="5"/>
        <v>0</v>
      </c>
      <c r="E29" s="73">
        <f t="shared" si="5"/>
        <v>0</v>
      </c>
      <c r="F29" s="73">
        <f t="shared" si="5"/>
        <v>16860</v>
      </c>
      <c r="G29" s="73">
        <f t="shared" si="5"/>
        <v>0</v>
      </c>
      <c r="H29" s="73">
        <f t="shared" si="5"/>
        <v>0</v>
      </c>
      <c r="I29" s="73">
        <f t="shared" si="5"/>
        <v>64080</v>
      </c>
      <c r="J29" s="73">
        <f t="shared" si="5"/>
        <v>0</v>
      </c>
      <c r="K29" s="73">
        <f t="shared" si="5"/>
        <v>0</v>
      </c>
      <c r="L29" s="73">
        <f t="shared" si="5"/>
        <v>0</v>
      </c>
      <c r="M29" s="73">
        <f t="shared" si="5"/>
        <v>0</v>
      </c>
      <c r="N29" s="73">
        <f t="shared" si="5"/>
        <v>0</v>
      </c>
      <c r="O29" s="73">
        <f t="shared" si="5"/>
        <v>0</v>
      </c>
      <c r="P29" s="73">
        <f>SUM(P25:P28)</f>
        <v>0</v>
      </c>
      <c r="Q29" s="412">
        <f t="shared" si="4"/>
        <v>252310</v>
      </c>
    </row>
    <row r="30" spans="1:17" s="79" customFormat="1" ht="18.75">
      <c r="A30" s="72" t="s">
        <v>20</v>
      </c>
      <c r="B30" s="73">
        <f>123110+112496+118710+118710+118710+118710+120330+120330+120330+113350</f>
        <v>1184786</v>
      </c>
      <c r="C30" s="73">
        <f>56920+56920+56920+56920+56920+56920+57870+57870+58126.45+58020</f>
        <v>573406.45</v>
      </c>
      <c r="D30" s="73">
        <f>0</f>
        <v>0</v>
      </c>
      <c r="E30" s="73">
        <f>0</f>
        <v>0</v>
      </c>
      <c r="F30" s="73">
        <f>16420+16420+17740+16420+16860+17300+16860+16860+16860+16860</f>
        <v>168600</v>
      </c>
      <c r="G30" s="73">
        <f>0</f>
        <v>0</v>
      </c>
      <c r="H30" s="73">
        <f>0</f>
        <v>0</v>
      </c>
      <c r="I30" s="73">
        <f>43550+43550+63290+63290+63290+63290+64080+64080+64080+64080</f>
        <v>596580</v>
      </c>
      <c r="J30" s="73">
        <f>0</f>
        <v>0</v>
      </c>
      <c r="K30" s="73">
        <f>0</f>
        <v>0</v>
      </c>
      <c r="L30" s="73">
        <f>0</f>
        <v>0</v>
      </c>
      <c r="M30" s="73">
        <f>0</f>
        <v>0</v>
      </c>
      <c r="N30" s="73">
        <f>0</f>
        <v>0</v>
      </c>
      <c r="O30" s="73">
        <f>0</f>
        <v>0</v>
      </c>
      <c r="P30" s="73">
        <f>0</f>
        <v>0</v>
      </c>
      <c r="Q30" s="412">
        <f t="shared" si="4"/>
        <v>2523372.45</v>
      </c>
    </row>
    <row r="31" spans="1:17" s="79" customFormat="1" ht="21.75" customHeight="1">
      <c r="A31" s="78"/>
      <c r="B31" s="75"/>
      <c r="C31" s="514" t="s">
        <v>7</v>
      </c>
      <c r="D31" s="514"/>
      <c r="E31" s="514"/>
      <c r="F31" s="85"/>
      <c r="G31" s="85"/>
      <c r="H31" s="85"/>
      <c r="I31" s="514" t="s">
        <v>101</v>
      </c>
      <c r="J31" s="514"/>
      <c r="K31" s="514"/>
      <c r="L31" s="75"/>
      <c r="M31" s="75"/>
      <c r="N31" s="75"/>
      <c r="O31" s="75"/>
      <c r="P31" s="75"/>
      <c r="Q31" s="427"/>
    </row>
    <row r="32" spans="1:17" s="79" customFormat="1" ht="21.75" customHeight="1">
      <c r="A32" s="78"/>
      <c r="B32" s="80"/>
      <c r="C32" s="85"/>
      <c r="D32" s="85"/>
      <c r="E32" s="85"/>
      <c r="F32" s="85"/>
      <c r="G32" s="85"/>
      <c r="H32" s="85"/>
      <c r="I32" s="85"/>
      <c r="J32" s="85"/>
      <c r="K32" s="85"/>
      <c r="L32" s="80"/>
      <c r="M32" s="80"/>
      <c r="N32" s="80"/>
      <c r="O32" s="80"/>
      <c r="P32" s="80"/>
      <c r="Q32" s="81"/>
    </row>
    <row r="33" spans="1:17" s="79" customFormat="1" ht="21.75" customHeight="1">
      <c r="A33" s="78"/>
      <c r="B33" s="85"/>
      <c r="C33" s="85"/>
      <c r="D33" s="75"/>
      <c r="E33" s="75"/>
      <c r="F33" s="75"/>
      <c r="G33" s="75"/>
      <c r="H33" s="80"/>
      <c r="I33" s="85"/>
      <c r="J33" s="75"/>
      <c r="K33" s="75"/>
      <c r="L33" s="80"/>
      <c r="M33" s="80"/>
      <c r="N33" s="80"/>
      <c r="O33" s="80"/>
      <c r="P33" s="80"/>
      <c r="Q33" s="81"/>
    </row>
    <row r="34" spans="1:17" s="79" customFormat="1" ht="21.75" customHeight="1">
      <c r="A34" s="78"/>
      <c r="B34" s="85"/>
      <c r="C34" s="514" t="s">
        <v>119</v>
      </c>
      <c r="D34" s="514"/>
      <c r="E34" s="514"/>
      <c r="F34" s="85"/>
      <c r="G34" s="85"/>
      <c r="H34" s="85"/>
      <c r="I34" s="514" t="s">
        <v>238</v>
      </c>
      <c r="J34" s="514"/>
      <c r="K34" s="514"/>
      <c r="L34" s="80"/>
      <c r="M34" s="80"/>
      <c r="N34" s="80"/>
      <c r="O34" s="80"/>
      <c r="P34" s="80"/>
      <c r="Q34" s="81"/>
    </row>
    <row r="35" spans="1:17" s="79" customFormat="1" ht="21.75" customHeight="1">
      <c r="A35" s="78"/>
      <c r="B35" s="80"/>
      <c r="C35" s="514" t="s">
        <v>111</v>
      </c>
      <c r="D35" s="514"/>
      <c r="E35" s="514"/>
      <c r="F35" s="85"/>
      <c r="G35" s="85"/>
      <c r="H35" s="85"/>
      <c r="I35" s="514" t="s">
        <v>100</v>
      </c>
      <c r="J35" s="514"/>
      <c r="K35" s="514"/>
      <c r="L35" s="80"/>
      <c r="M35" s="80"/>
      <c r="N35" s="80"/>
      <c r="O35" s="80"/>
      <c r="P35" s="80"/>
      <c r="Q35" s="81"/>
    </row>
    <row r="36" spans="1:17" s="79" customFormat="1" ht="18.75">
      <c r="A36" s="78"/>
      <c r="B36" s="80"/>
      <c r="C36" s="85"/>
      <c r="D36" s="85"/>
      <c r="E36" s="85"/>
      <c r="F36" s="85"/>
      <c r="G36" s="85"/>
      <c r="H36" s="85"/>
      <c r="I36" s="80"/>
      <c r="J36" s="80"/>
      <c r="K36" s="80"/>
      <c r="L36" s="80"/>
      <c r="M36" s="80"/>
      <c r="N36" s="80"/>
      <c r="O36" s="80"/>
      <c r="P36" s="80"/>
      <c r="Q36" s="81"/>
    </row>
    <row r="37" spans="1:17" ht="19.5" thickBot="1">
      <c r="A37" s="517" t="s">
        <v>21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</row>
    <row r="38" spans="1:17" s="62" customFormat="1" ht="18.75">
      <c r="A38" s="57" t="s">
        <v>16</v>
      </c>
      <c r="B38" s="512" t="s">
        <v>82</v>
      </c>
      <c r="C38" s="513"/>
      <c r="D38" s="512" t="s">
        <v>85</v>
      </c>
      <c r="E38" s="513"/>
      <c r="F38" s="58" t="s">
        <v>91</v>
      </c>
      <c r="G38" s="58" t="s">
        <v>92</v>
      </c>
      <c r="H38" s="59" t="s">
        <v>95</v>
      </c>
      <c r="I38" s="512" t="s">
        <v>86</v>
      </c>
      <c r="J38" s="513"/>
      <c r="K38" s="60" t="s">
        <v>96</v>
      </c>
      <c r="L38" s="512" t="s">
        <v>87</v>
      </c>
      <c r="M38" s="513"/>
      <c r="N38" s="60" t="s">
        <v>99</v>
      </c>
      <c r="O38" s="60" t="s">
        <v>115</v>
      </c>
      <c r="P38" s="58" t="s">
        <v>80</v>
      </c>
      <c r="Q38" s="61" t="s">
        <v>17</v>
      </c>
    </row>
    <row r="39" spans="1:17" s="62" customFormat="1" ht="19.5" thickBot="1">
      <c r="A39" s="63" t="s">
        <v>18</v>
      </c>
      <c r="B39" s="65" t="s">
        <v>83</v>
      </c>
      <c r="C39" s="66" t="s">
        <v>84</v>
      </c>
      <c r="D39" s="64" t="s">
        <v>76</v>
      </c>
      <c r="E39" s="64" t="s">
        <v>77</v>
      </c>
      <c r="F39" s="65" t="s">
        <v>90</v>
      </c>
      <c r="G39" s="65" t="s">
        <v>93</v>
      </c>
      <c r="H39" s="68" t="s">
        <v>94</v>
      </c>
      <c r="I39" s="64" t="s">
        <v>78</v>
      </c>
      <c r="J39" s="64" t="s">
        <v>79</v>
      </c>
      <c r="K39" s="69" t="s">
        <v>97</v>
      </c>
      <c r="L39" s="66" t="s">
        <v>88</v>
      </c>
      <c r="M39" s="67" t="s">
        <v>89</v>
      </c>
      <c r="N39" s="69" t="s">
        <v>98</v>
      </c>
      <c r="O39" s="69" t="s">
        <v>116</v>
      </c>
      <c r="P39" s="64" t="s">
        <v>81</v>
      </c>
      <c r="Q39" s="70"/>
    </row>
    <row r="40" spans="1:17" s="185" customFormat="1" ht="21" customHeight="1">
      <c r="A40" s="407">
        <v>531000</v>
      </c>
      <c r="B40" s="408"/>
      <c r="C40" s="409"/>
      <c r="D40" s="410"/>
      <c r="E40" s="410"/>
      <c r="F40" s="411"/>
      <c r="G40" s="411"/>
      <c r="H40" s="410"/>
      <c r="I40" s="410"/>
      <c r="J40" s="408"/>
      <c r="K40" s="412"/>
      <c r="L40" s="410"/>
      <c r="M40" s="410"/>
      <c r="N40" s="412"/>
      <c r="O40" s="412"/>
      <c r="P40" s="408"/>
      <c r="Q40" s="412"/>
    </row>
    <row r="41" spans="1:17" s="185" customFormat="1" ht="21" customHeight="1">
      <c r="A41" s="413">
        <v>310100</v>
      </c>
      <c r="B41" s="216">
        <v>4200</v>
      </c>
      <c r="C41" s="216">
        <v>0</v>
      </c>
      <c r="D41" s="216">
        <v>0</v>
      </c>
      <c r="E41" s="216">
        <v>0</v>
      </c>
      <c r="F41" s="216">
        <v>0</v>
      </c>
      <c r="G41" s="216">
        <v>0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0</v>
      </c>
      <c r="N41" s="216">
        <v>0</v>
      </c>
      <c r="O41" s="216">
        <v>0</v>
      </c>
      <c r="P41" s="216">
        <v>0</v>
      </c>
      <c r="Q41" s="412">
        <f>SUM(B41:P41)</f>
        <v>4200</v>
      </c>
    </row>
    <row r="42" spans="1:17" s="185" customFormat="1" ht="21" customHeight="1">
      <c r="A42" s="413">
        <v>310200</v>
      </c>
      <c r="B42" s="216">
        <v>0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6">
        <v>0</v>
      </c>
      <c r="O42" s="216">
        <v>0</v>
      </c>
      <c r="P42" s="216">
        <v>0</v>
      </c>
      <c r="Q42" s="412">
        <f aca="true" t="shared" si="6" ref="Q42:Q49">SUM(B42:P42)</f>
        <v>0</v>
      </c>
    </row>
    <row r="43" spans="1:17" s="185" customFormat="1" ht="21" customHeight="1">
      <c r="A43" s="413">
        <v>310300</v>
      </c>
      <c r="B43" s="216">
        <v>0</v>
      </c>
      <c r="C43" s="216">
        <v>0</v>
      </c>
      <c r="D43" s="216">
        <v>0</v>
      </c>
      <c r="E43" s="216">
        <v>0</v>
      </c>
      <c r="F43" s="216">
        <v>0</v>
      </c>
      <c r="G43" s="216">
        <v>0</v>
      </c>
      <c r="H43" s="216">
        <v>0</v>
      </c>
      <c r="I43" s="216">
        <v>15120</v>
      </c>
      <c r="J43" s="216">
        <v>0</v>
      </c>
      <c r="K43" s="216">
        <v>0</v>
      </c>
      <c r="L43" s="216">
        <v>0</v>
      </c>
      <c r="M43" s="216">
        <v>0</v>
      </c>
      <c r="N43" s="216">
        <v>0</v>
      </c>
      <c r="O43" s="216">
        <v>0</v>
      </c>
      <c r="P43" s="216">
        <v>0</v>
      </c>
      <c r="Q43" s="412">
        <f t="shared" si="6"/>
        <v>15120</v>
      </c>
    </row>
    <row r="44" spans="1:17" s="185" customFormat="1" ht="21" customHeight="1">
      <c r="A44" s="413">
        <v>310400</v>
      </c>
      <c r="B44" s="216">
        <v>4600</v>
      </c>
      <c r="C44" s="216">
        <v>3200</v>
      </c>
      <c r="D44" s="216">
        <v>0</v>
      </c>
      <c r="E44" s="216">
        <v>0</v>
      </c>
      <c r="F44" s="216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6">
        <v>0</v>
      </c>
      <c r="O44" s="216">
        <v>0</v>
      </c>
      <c r="P44" s="216">
        <v>0</v>
      </c>
      <c r="Q44" s="412">
        <f t="shared" si="6"/>
        <v>7800</v>
      </c>
    </row>
    <row r="45" spans="1:17" s="185" customFormat="1" ht="21" customHeight="1">
      <c r="A45" s="413">
        <v>310500</v>
      </c>
      <c r="B45" s="216">
        <v>0</v>
      </c>
      <c r="C45" s="216">
        <v>1937</v>
      </c>
      <c r="D45" s="216">
        <v>0</v>
      </c>
      <c r="E45" s="216">
        <v>0</v>
      </c>
      <c r="F45" s="216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6">
        <v>0</v>
      </c>
      <c r="O45" s="216">
        <v>0</v>
      </c>
      <c r="P45" s="216">
        <v>0</v>
      </c>
      <c r="Q45" s="412">
        <f t="shared" si="6"/>
        <v>1937</v>
      </c>
    </row>
    <row r="46" spans="1:17" s="185" customFormat="1" ht="21" customHeight="1">
      <c r="A46" s="413">
        <v>310600</v>
      </c>
      <c r="B46" s="216">
        <v>520</v>
      </c>
      <c r="C46" s="216">
        <v>121</v>
      </c>
      <c r="D46" s="216">
        <v>0</v>
      </c>
      <c r="E46" s="216">
        <v>0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216">
        <v>0</v>
      </c>
      <c r="P46" s="216">
        <v>0</v>
      </c>
      <c r="Q46" s="412">
        <f t="shared" si="6"/>
        <v>641</v>
      </c>
    </row>
    <row r="47" spans="1:17" s="185" customFormat="1" ht="21" customHeight="1">
      <c r="A47" s="413">
        <v>310800</v>
      </c>
      <c r="B47" s="216">
        <v>0</v>
      </c>
      <c r="C47" s="216">
        <v>0</v>
      </c>
      <c r="D47" s="216">
        <v>0</v>
      </c>
      <c r="E47" s="216">
        <v>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216">
        <v>0</v>
      </c>
      <c r="P47" s="216">
        <v>0</v>
      </c>
      <c r="Q47" s="412">
        <f t="shared" si="6"/>
        <v>0</v>
      </c>
    </row>
    <row r="48" spans="1:17" ht="18.75">
      <c r="A48" s="72" t="s">
        <v>19</v>
      </c>
      <c r="B48" s="73">
        <f aca="true" t="shared" si="7" ref="B48:O48">SUM(B41:B47)</f>
        <v>9320</v>
      </c>
      <c r="C48" s="73">
        <f t="shared" si="7"/>
        <v>5258</v>
      </c>
      <c r="D48" s="73">
        <f t="shared" si="7"/>
        <v>0</v>
      </c>
      <c r="E48" s="73">
        <f t="shared" si="7"/>
        <v>0</v>
      </c>
      <c r="F48" s="73">
        <f t="shared" si="7"/>
        <v>0</v>
      </c>
      <c r="G48" s="73">
        <f t="shared" si="7"/>
        <v>0</v>
      </c>
      <c r="H48" s="73">
        <f t="shared" si="7"/>
        <v>0</v>
      </c>
      <c r="I48" s="73">
        <f t="shared" si="7"/>
        <v>15120</v>
      </c>
      <c r="J48" s="73">
        <f t="shared" si="7"/>
        <v>0</v>
      </c>
      <c r="K48" s="73">
        <f t="shared" si="7"/>
        <v>0</v>
      </c>
      <c r="L48" s="73">
        <f t="shared" si="7"/>
        <v>0</v>
      </c>
      <c r="M48" s="73">
        <f t="shared" si="7"/>
        <v>0</v>
      </c>
      <c r="N48" s="73">
        <f t="shared" si="7"/>
        <v>0</v>
      </c>
      <c r="O48" s="73">
        <f t="shared" si="7"/>
        <v>0</v>
      </c>
      <c r="P48" s="73">
        <f>SUM(P41:P47)</f>
        <v>0</v>
      </c>
      <c r="Q48" s="412">
        <f t="shared" si="6"/>
        <v>29698</v>
      </c>
    </row>
    <row r="49" spans="1:17" s="79" customFormat="1" ht="18.75">
      <c r="A49" s="72" t="s">
        <v>20</v>
      </c>
      <c r="B49" s="73">
        <f>2175+3000+25605+3000+14860+4600+8881+19344+5330+9320</f>
        <v>96115</v>
      </c>
      <c r="C49" s="73">
        <f>4687+16060+2750+8450+3200+4700+5137+4651+5258</f>
        <v>54893</v>
      </c>
      <c r="D49" s="73">
        <f>0</f>
        <v>0</v>
      </c>
      <c r="E49" s="73">
        <f>0</f>
        <v>0</v>
      </c>
      <c r="F49" s="73">
        <f>0</f>
        <v>0</v>
      </c>
      <c r="G49" s="73">
        <f>0</f>
        <v>0</v>
      </c>
      <c r="H49" s="73">
        <f>0</f>
        <v>0</v>
      </c>
      <c r="I49" s="73">
        <f>45830+39597+39301+34625+6347+28624+34755+15120</f>
        <v>244199</v>
      </c>
      <c r="J49" s="73">
        <f>0</f>
        <v>0</v>
      </c>
      <c r="K49" s="73">
        <f>0</f>
        <v>0</v>
      </c>
      <c r="L49" s="73">
        <f>0</f>
        <v>0</v>
      </c>
      <c r="M49" s="73">
        <f>0</f>
        <v>0</v>
      </c>
      <c r="N49" s="73">
        <f>0</f>
        <v>0</v>
      </c>
      <c r="O49" s="73">
        <f>0</f>
        <v>0</v>
      </c>
      <c r="P49" s="73">
        <f>0</f>
        <v>0</v>
      </c>
      <c r="Q49" s="412">
        <f t="shared" si="6"/>
        <v>395207</v>
      </c>
    </row>
    <row r="50" spans="1:17" s="185" customFormat="1" ht="21" customHeight="1">
      <c r="A50" s="414">
        <v>532000</v>
      </c>
      <c r="B50" s="73"/>
      <c r="C50" s="415"/>
      <c r="D50" s="74"/>
      <c r="E50" s="74"/>
      <c r="F50" s="416"/>
      <c r="G50" s="416"/>
      <c r="H50" s="73"/>
      <c r="I50" s="74"/>
      <c r="J50" s="73"/>
      <c r="K50" s="412"/>
      <c r="L50" s="74"/>
      <c r="M50" s="74"/>
      <c r="N50" s="412"/>
      <c r="O50" s="412"/>
      <c r="P50" s="73"/>
      <c r="Q50" s="412"/>
    </row>
    <row r="51" spans="1:17" s="185" customFormat="1" ht="21" customHeight="1">
      <c r="A51" s="413">
        <v>320100</v>
      </c>
      <c r="B51" s="216">
        <f>4500+3000+5700+4500+5700+9000</f>
        <v>32400</v>
      </c>
      <c r="C51" s="216">
        <v>17900</v>
      </c>
      <c r="D51" s="216">
        <v>0</v>
      </c>
      <c r="E51" s="216">
        <v>0</v>
      </c>
      <c r="F51" s="216">
        <v>0</v>
      </c>
      <c r="G51" s="216">
        <v>5700</v>
      </c>
      <c r="H51" s="216">
        <v>0</v>
      </c>
      <c r="I51" s="216">
        <v>6000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216">
        <v>0</v>
      </c>
      <c r="P51" s="216">
        <v>0</v>
      </c>
      <c r="Q51" s="412">
        <f>SUM(B51:P51)</f>
        <v>62000</v>
      </c>
    </row>
    <row r="52" spans="1:17" s="185" customFormat="1" ht="21" customHeight="1">
      <c r="A52" s="413">
        <v>320200</v>
      </c>
      <c r="B52" s="216">
        <v>8905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216">
        <v>0</v>
      </c>
      <c r="P52" s="216">
        <v>0</v>
      </c>
      <c r="Q52" s="412">
        <f aca="true" t="shared" si="8" ref="Q52:Q57">SUM(B52:P52)</f>
        <v>8905</v>
      </c>
    </row>
    <row r="53" spans="1:17" s="185" customFormat="1" ht="21" customHeight="1">
      <c r="A53" s="413">
        <v>320300</v>
      </c>
      <c r="B53" s="216">
        <v>6106</v>
      </c>
      <c r="C53" s="216">
        <v>2410</v>
      </c>
      <c r="D53" s="216">
        <v>0</v>
      </c>
      <c r="E53" s="216">
        <v>0</v>
      </c>
      <c r="F53" s="216">
        <v>0</v>
      </c>
      <c r="G53" s="216">
        <f>15000-15000</f>
        <v>0</v>
      </c>
      <c r="H53" s="216">
        <v>0</v>
      </c>
      <c r="I53" s="216">
        <v>3880</v>
      </c>
      <c r="J53" s="216">
        <v>0</v>
      </c>
      <c r="K53" s="216">
        <v>0</v>
      </c>
      <c r="L53" s="216">
        <v>0</v>
      </c>
      <c r="M53" s="216">
        <v>0</v>
      </c>
      <c r="N53" s="216">
        <v>0</v>
      </c>
      <c r="O53" s="216">
        <v>0</v>
      </c>
      <c r="P53" s="216">
        <v>0</v>
      </c>
      <c r="Q53" s="412">
        <f t="shared" si="8"/>
        <v>12396</v>
      </c>
    </row>
    <row r="54" spans="1:17" s="185" customFormat="1" ht="21" customHeight="1">
      <c r="A54" s="413">
        <v>320400</v>
      </c>
      <c r="B54" s="216">
        <v>3334</v>
      </c>
      <c r="C54" s="216">
        <v>0</v>
      </c>
      <c r="D54" s="216">
        <v>0</v>
      </c>
      <c r="E54" s="216">
        <v>0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216">
        <v>0</v>
      </c>
      <c r="P54" s="216">
        <v>0</v>
      </c>
      <c r="Q54" s="412">
        <f t="shared" si="8"/>
        <v>3334</v>
      </c>
    </row>
    <row r="55" spans="1:17" s="185" customFormat="1" ht="21" customHeight="1">
      <c r="A55" s="413">
        <v>320500</v>
      </c>
      <c r="B55" s="216">
        <v>0</v>
      </c>
      <c r="C55" s="216">
        <v>0</v>
      </c>
      <c r="D55" s="216">
        <v>0</v>
      </c>
      <c r="E55" s="216">
        <v>0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6">
        <v>0</v>
      </c>
      <c r="O55" s="216">
        <v>0</v>
      </c>
      <c r="P55" s="216">
        <v>0</v>
      </c>
      <c r="Q55" s="412">
        <f t="shared" si="8"/>
        <v>0</v>
      </c>
    </row>
    <row r="56" spans="1:17" ht="18.75">
      <c r="A56" s="72" t="s">
        <v>19</v>
      </c>
      <c r="B56" s="73">
        <f aca="true" t="shared" si="9" ref="B56:P56">SUM(B51:B55)</f>
        <v>50745</v>
      </c>
      <c r="C56" s="73">
        <f t="shared" si="9"/>
        <v>20310</v>
      </c>
      <c r="D56" s="73">
        <f t="shared" si="9"/>
        <v>0</v>
      </c>
      <c r="E56" s="73">
        <f t="shared" si="9"/>
        <v>0</v>
      </c>
      <c r="F56" s="73">
        <f t="shared" si="9"/>
        <v>0</v>
      </c>
      <c r="G56" s="73">
        <f t="shared" si="9"/>
        <v>5700</v>
      </c>
      <c r="H56" s="73">
        <f t="shared" si="9"/>
        <v>0</v>
      </c>
      <c r="I56" s="73">
        <f t="shared" si="9"/>
        <v>9880</v>
      </c>
      <c r="J56" s="73">
        <f t="shared" si="9"/>
        <v>0</v>
      </c>
      <c r="K56" s="73">
        <f t="shared" si="9"/>
        <v>0</v>
      </c>
      <c r="L56" s="73">
        <f t="shared" si="9"/>
        <v>0</v>
      </c>
      <c r="M56" s="73">
        <f t="shared" si="9"/>
        <v>0</v>
      </c>
      <c r="N56" s="73">
        <f t="shared" si="9"/>
        <v>0</v>
      </c>
      <c r="O56" s="73">
        <f t="shared" si="9"/>
        <v>0</v>
      </c>
      <c r="P56" s="73">
        <f t="shared" si="9"/>
        <v>0</v>
      </c>
      <c r="Q56" s="412">
        <f t="shared" si="8"/>
        <v>86635</v>
      </c>
    </row>
    <row r="57" spans="1:17" s="79" customFormat="1" ht="18.75">
      <c r="A57" s="417" t="s">
        <v>20</v>
      </c>
      <c r="B57" s="73">
        <f>10860+23633+65516+66348+40136+94888+41426+29540+54304+50745</f>
        <v>477396</v>
      </c>
      <c r="C57" s="73">
        <f>2700+8986+882+3600+48156+2640+20310</f>
        <v>87274</v>
      </c>
      <c r="D57" s="73">
        <f>900+15800+10700+3500</f>
        <v>30900</v>
      </c>
      <c r="E57" s="73">
        <f>0</f>
        <v>0</v>
      </c>
      <c r="F57" s="73">
        <v>0</v>
      </c>
      <c r="G57" s="73">
        <f>5700+11400+5700+5700+5700+5700+5700+5700</f>
        <v>51300</v>
      </c>
      <c r="H57" s="73">
        <v>0</v>
      </c>
      <c r="I57" s="73">
        <f>5000+5000+21100+15634+1070+9880</f>
        <v>57684</v>
      </c>
      <c r="J57" s="73">
        <f>0</f>
        <v>0</v>
      </c>
      <c r="K57" s="73">
        <f>19300+1750+79697.24+15720</f>
        <v>116467.24</v>
      </c>
      <c r="L57" s="73">
        <f>85496+5000</f>
        <v>90496</v>
      </c>
      <c r="M57" s="73">
        <v>63960</v>
      </c>
      <c r="N57" s="73">
        <v>4800</v>
      </c>
      <c r="O57" s="73">
        <v>0</v>
      </c>
      <c r="P57" s="73">
        <f>0</f>
        <v>0</v>
      </c>
      <c r="Q57" s="412">
        <f t="shared" si="8"/>
        <v>980277.24</v>
      </c>
    </row>
    <row r="58" spans="1:17" s="76" customFormat="1" ht="18.75">
      <c r="A58" s="7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82"/>
    </row>
    <row r="59" spans="1:17" s="76" customFormat="1" ht="18.75">
      <c r="A59" s="78"/>
      <c r="B59" s="75"/>
      <c r="C59" s="514" t="s">
        <v>7</v>
      </c>
      <c r="D59" s="514"/>
      <c r="E59" s="514"/>
      <c r="F59" s="85"/>
      <c r="G59" s="85"/>
      <c r="H59" s="85"/>
      <c r="I59" s="514" t="s">
        <v>101</v>
      </c>
      <c r="J59" s="514"/>
      <c r="K59" s="514"/>
      <c r="L59" s="80"/>
      <c r="M59" s="80"/>
      <c r="N59" s="75"/>
      <c r="O59" s="75"/>
      <c r="P59" s="75"/>
      <c r="Q59" s="82"/>
    </row>
    <row r="60" spans="1:17" s="76" customFormat="1" ht="18.75">
      <c r="A60" s="78"/>
      <c r="B60" s="75"/>
      <c r="C60" s="85"/>
      <c r="D60" s="85"/>
      <c r="E60" s="85"/>
      <c r="F60" s="85"/>
      <c r="G60" s="85"/>
      <c r="H60" s="75"/>
      <c r="I60" s="85"/>
      <c r="J60" s="85"/>
      <c r="K60" s="85"/>
      <c r="L60" s="80"/>
      <c r="M60" s="80"/>
      <c r="N60" s="75"/>
      <c r="O60" s="75"/>
      <c r="P60" s="75"/>
      <c r="Q60" s="82"/>
    </row>
    <row r="61" spans="1:17" s="76" customFormat="1" ht="18.75">
      <c r="A61" s="78"/>
      <c r="B61" s="75"/>
      <c r="C61" s="85"/>
      <c r="D61" s="85"/>
      <c r="E61" s="85"/>
      <c r="F61" s="85"/>
      <c r="G61" s="85"/>
      <c r="H61" s="75"/>
      <c r="I61" s="85"/>
      <c r="J61" s="75"/>
      <c r="K61" s="75"/>
      <c r="L61" s="80"/>
      <c r="M61" s="80"/>
      <c r="N61" s="75"/>
      <c r="O61" s="75"/>
      <c r="P61" s="75"/>
      <c r="Q61" s="82"/>
    </row>
    <row r="62" spans="1:17" s="76" customFormat="1" ht="18.75">
      <c r="A62" s="78"/>
      <c r="B62" s="75"/>
      <c r="C62" s="514" t="s">
        <v>120</v>
      </c>
      <c r="D62" s="514"/>
      <c r="E62" s="514"/>
      <c r="F62" s="75"/>
      <c r="G62" s="75"/>
      <c r="H62" s="75"/>
      <c r="I62" s="514" t="s">
        <v>238</v>
      </c>
      <c r="J62" s="514"/>
      <c r="K62" s="514"/>
      <c r="L62" s="80"/>
      <c r="M62" s="80"/>
      <c r="N62" s="75"/>
      <c r="O62" s="75"/>
      <c r="P62" s="75"/>
      <c r="Q62" s="82"/>
    </row>
    <row r="63" spans="1:17" s="76" customFormat="1" ht="18.75">
      <c r="A63" s="78"/>
      <c r="B63" s="75"/>
      <c r="C63" s="514" t="s">
        <v>111</v>
      </c>
      <c r="D63" s="514"/>
      <c r="E63" s="514"/>
      <c r="F63" s="85"/>
      <c r="G63" s="85"/>
      <c r="H63" s="85"/>
      <c r="I63" s="514" t="s">
        <v>100</v>
      </c>
      <c r="J63" s="514"/>
      <c r="K63" s="514"/>
      <c r="L63" s="80"/>
      <c r="M63" s="80"/>
      <c r="N63" s="75"/>
      <c r="O63" s="75"/>
      <c r="P63" s="75"/>
      <c r="Q63" s="82"/>
    </row>
    <row r="64" spans="1:17" s="76" customFormat="1" ht="18.75">
      <c r="A64" s="78"/>
      <c r="B64" s="75"/>
      <c r="C64" s="514"/>
      <c r="D64" s="514"/>
      <c r="E64" s="514"/>
      <c r="F64" s="85"/>
      <c r="G64" s="85"/>
      <c r="H64" s="85"/>
      <c r="I64" s="80"/>
      <c r="J64" s="80"/>
      <c r="K64" s="75"/>
      <c r="L64" s="80"/>
      <c r="M64" s="80"/>
      <c r="N64" s="75"/>
      <c r="O64" s="75"/>
      <c r="P64" s="75"/>
      <c r="Q64" s="82"/>
    </row>
    <row r="65" spans="1:17" s="76" customFormat="1" ht="18.75">
      <c r="A65" s="78"/>
      <c r="B65" s="75"/>
      <c r="C65" s="85"/>
      <c r="D65" s="85"/>
      <c r="E65" s="85"/>
      <c r="F65" s="85"/>
      <c r="G65" s="85"/>
      <c r="H65" s="85"/>
      <c r="I65" s="80"/>
      <c r="J65" s="80"/>
      <c r="K65" s="75"/>
      <c r="L65" s="80"/>
      <c r="M65" s="80"/>
      <c r="N65" s="75"/>
      <c r="O65" s="75"/>
      <c r="P65" s="75"/>
      <c r="Q65" s="82"/>
    </row>
    <row r="66" spans="1:17" s="76" customFormat="1" ht="18.75">
      <c r="A66" s="78"/>
      <c r="B66" s="75"/>
      <c r="C66" s="85"/>
      <c r="D66" s="85"/>
      <c r="E66" s="85"/>
      <c r="F66" s="85"/>
      <c r="G66" s="85"/>
      <c r="H66" s="85"/>
      <c r="I66" s="80"/>
      <c r="J66" s="80"/>
      <c r="K66" s="75"/>
      <c r="L66" s="80"/>
      <c r="M66" s="80"/>
      <c r="N66" s="75"/>
      <c r="O66" s="75"/>
      <c r="P66" s="75"/>
      <c r="Q66" s="82"/>
    </row>
    <row r="67" spans="1:17" s="76" customFormat="1" ht="18.75">
      <c r="A67" s="78"/>
      <c r="B67" s="75"/>
      <c r="C67" s="85"/>
      <c r="D67" s="85"/>
      <c r="E67" s="85"/>
      <c r="F67" s="85"/>
      <c r="G67" s="85"/>
      <c r="H67" s="85"/>
      <c r="I67" s="80"/>
      <c r="J67" s="80"/>
      <c r="K67" s="75"/>
      <c r="L67" s="80"/>
      <c r="M67" s="80"/>
      <c r="N67" s="75"/>
      <c r="O67" s="75"/>
      <c r="P67" s="75"/>
      <c r="Q67" s="82"/>
    </row>
    <row r="68" spans="1:17" s="76" customFormat="1" ht="18.75">
      <c r="A68" s="78"/>
      <c r="B68" s="75"/>
      <c r="C68" s="85"/>
      <c r="D68" s="85"/>
      <c r="E68" s="85"/>
      <c r="F68" s="85"/>
      <c r="G68" s="85"/>
      <c r="H68" s="85"/>
      <c r="I68" s="80"/>
      <c r="J68" s="80"/>
      <c r="K68" s="75"/>
      <c r="L68" s="80"/>
      <c r="M68" s="80"/>
      <c r="N68" s="75"/>
      <c r="O68" s="75"/>
      <c r="P68" s="75"/>
      <c r="Q68" s="82"/>
    </row>
    <row r="69" spans="1:17" s="76" customFormat="1" ht="18.75">
      <c r="A69" s="78"/>
      <c r="B69" s="75"/>
      <c r="C69" s="85"/>
      <c r="D69" s="85"/>
      <c r="E69" s="85"/>
      <c r="F69" s="85"/>
      <c r="G69" s="85"/>
      <c r="H69" s="85"/>
      <c r="I69" s="80"/>
      <c r="J69" s="80"/>
      <c r="K69" s="75"/>
      <c r="L69" s="80"/>
      <c r="M69" s="80"/>
      <c r="N69" s="75"/>
      <c r="O69" s="75"/>
      <c r="P69" s="75"/>
      <c r="Q69" s="82"/>
    </row>
    <row r="70" spans="1:17" s="76" customFormat="1" ht="18.75">
      <c r="A70" s="78"/>
      <c r="B70" s="75"/>
      <c r="C70" s="85"/>
      <c r="D70" s="85"/>
      <c r="E70" s="85"/>
      <c r="F70" s="85"/>
      <c r="G70" s="85"/>
      <c r="H70" s="85"/>
      <c r="I70" s="80"/>
      <c r="J70" s="80"/>
      <c r="K70" s="75"/>
      <c r="L70" s="80"/>
      <c r="M70" s="80"/>
      <c r="N70" s="75"/>
      <c r="O70" s="75"/>
      <c r="P70" s="75"/>
      <c r="Q70" s="82"/>
    </row>
    <row r="71" spans="1:17" s="76" customFormat="1" ht="18.75">
      <c r="A71" s="78"/>
      <c r="B71" s="75"/>
      <c r="C71" s="85"/>
      <c r="D71" s="85"/>
      <c r="E71" s="85"/>
      <c r="F71" s="85"/>
      <c r="G71" s="85"/>
      <c r="H71" s="85"/>
      <c r="I71" s="80"/>
      <c r="J71" s="80"/>
      <c r="K71" s="75"/>
      <c r="L71" s="80"/>
      <c r="M71" s="80"/>
      <c r="N71" s="75"/>
      <c r="O71" s="75"/>
      <c r="P71" s="75"/>
      <c r="Q71" s="82"/>
    </row>
    <row r="72" spans="1:17" s="76" customFormat="1" ht="18.75">
      <c r="A72" s="78"/>
      <c r="B72" s="75"/>
      <c r="C72" s="85"/>
      <c r="D72" s="85"/>
      <c r="E72" s="85"/>
      <c r="F72" s="85"/>
      <c r="G72" s="85"/>
      <c r="H72" s="85"/>
      <c r="I72" s="80"/>
      <c r="J72" s="80"/>
      <c r="K72" s="75"/>
      <c r="L72" s="80"/>
      <c r="M72" s="80"/>
      <c r="N72" s="75"/>
      <c r="O72" s="75"/>
      <c r="P72" s="75"/>
      <c r="Q72" s="82"/>
    </row>
    <row r="73" spans="1:17" s="76" customFormat="1" ht="18.75">
      <c r="A73" s="78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82"/>
    </row>
    <row r="74" spans="1:17" s="76" customFormat="1" ht="18.75">
      <c r="A74" s="78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82"/>
    </row>
    <row r="75" spans="1:17" ht="19.5" thickBot="1">
      <c r="A75" s="518" t="s">
        <v>72</v>
      </c>
      <c r="B75" s="518"/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</row>
    <row r="76" spans="1:17" s="62" customFormat="1" ht="18.75">
      <c r="A76" s="57" t="s">
        <v>16</v>
      </c>
      <c r="B76" s="512" t="s">
        <v>82</v>
      </c>
      <c r="C76" s="513"/>
      <c r="D76" s="512" t="s">
        <v>85</v>
      </c>
      <c r="E76" s="513"/>
      <c r="F76" s="58" t="s">
        <v>91</v>
      </c>
      <c r="G76" s="58" t="s">
        <v>92</v>
      </c>
      <c r="H76" s="59" t="s">
        <v>95</v>
      </c>
      <c r="I76" s="512" t="s">
        <v>86</v>
      </c>
      <c r="J76" s="513"/>
      <c r="K76" s="60" t="s">
        <v>96</v>
      </c>
      <c r="L76" s="512" t="s">
        <v>87</v>
      </c>
      <c r="M76" s="513"/>
      <c r="N76" s="60" t="s">
        <v>99</v>
      </c>
      <c r="O76" s="60" t="s">
        <v>115</v>
      </c>
      <c r="P76" s="58" t="s">
        <v>80</v>
      </c>
      <c r="Q76" s="61" t="s">
        <v>17</v>
      </c>
    </row>
    <row r="77" spans="1:17" s="62" customFormat="1" ht="19.5" thickBot="1">
      <c r="A77" s="63" t="s">
        <v>18</v>
      </c>
      <c r="B77" s="65" t="s">
        <v>83</v>
      </c>
      <c r="C77" s="66" t="s">
        <v>84</v>
      </c>
      <c r="D77" s="64" t="s">
        <v>76</v>
      </c>
      <c r="E77" s="64" t="s">
        <v>77</v>
      </c>
      <c r="F77" s="65" t="s">
        <v>90</v>
      </c>
      <c r="G77" s="65" t="s">
        <v>93</v>
      </c>
      <c r="H77" s="68" t="s">
        <v>94</v>
      </c>
      <c r="I77" s="64" t="s">
        <v>78</v>
      </c>
      <c r="J77" s="64" t="s">
        <v>79</v>
      </c>
      <c r="K77" s="69" t="s">
        <v>97</v>
      </c>
      <c r="L77" s="66" t="s">
        <v>142</v>
      </c>
      <c r="M77" s="67" t="s">
        <v>88</v>
      </c>
      <c r="N77" s="69" t="s">
        <v>98</v>
      </c>
      <c r="O77" s="69" t="s">
        <v>116</v>
      </c>
      <c r="P77" s="64" t="s">
        <v>81</v>
      </c>
      <c r="Q77" s="70"/>
    </row>
    <row r="78" spans="1:17" s="185" customFormat="1" ht="21" customHeight="1">
      <c r="A78" s="414">
        <v>533000</v>
      </c>
      <c r="B78" s="409"/>
      <c r="C78" s="410"/>
      <c r="D78" s="73"/>
      <c r="E78" s="415"/>
      <c r="F78" s="412"/>
      <c r="G78" s="418"/>
      <c r="H78" s="408"/>
      <c r="I78" s="411"/>
      <c r="J78" s="73"/>
      <c r="K78" s="412"/>
      <c r="L78" s="73"/>
      <c r="M78" s="73"/>
      <c r="N78" s="412"/>
      <c r="O78" s="408"/>
      <c r="P78" s="73"/>
      <c r="Q78" s="412"/>
    </row>
    <row r="79" spans="1:17" s="185" customFormat="1" ht="21" customHeight="1">
      <c r="A79" s="419">
        <v>330100</v>
      </c>
      <c r="B79" s="216">
        <v>0</v>
      </c>
      <c r="C79" s="216">
        <v>0</v>
      </c>
      <c r="D79" s="216">
        <v>0</v>
      </c>
      <c r="E79" s="216">
        <v>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216">
        <v>0</v>
      </c>
      <c r="P79" s="216">
        <v>0</v>
      </c>
      <c r="Q79" s="412">
        <f>SUM(B79:P79)</f>
        <v>0</v>
      </c>
    </row>
    <row r="80" spans="1:17" s="185" customFormat="1" ht="21" customHeight="1">
      <c r="A80" s="419">
        <v>330200</v>
      </c>
      <c r="B80" s="216">
        <v>0</v>
      </c>
      <c r="C80" s="216">
        <v>0</v>
      </c>
      <c r="D80" s="216">
        <v>0</v>
      </c>
      <c r="E80" s="216">
        <v>0</v>
      </c>
      <c r="F80" s="216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6">
        <v>0</v>
      </c>
      <c r="O80" s="216">
        <v>0</v>
      </c>
      <c r="P80" s="216">
        <v>0</v>
      </c>
      <c r="Q80" s="412">
        <f aca="true" t="shared" si="10" ref="Q80:Q93">SUM(B80:P80)</f>
        <v>0</v>
      </c>
    </row>
    <row r="81" spans="1:17" s="185" customFormat="1" ht="21" customHeight="1">
      <c r="A81" s="413">
        <v>330300</v>
      </c>
      <c r="B81" s="216">
        <v>0</v>
      </c>
      <c r="C81" s="216">
        <v>0</v>
      </c>
      <c r="D81" s="216">
        <v>0</v>
      </c>
      <c r="E81" s="216">
        <v>0</v>
      </c>
      <c r="F81" s="216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43750</v>
      </c>
      <c r="P81" s="216">
        <v>0</v>
      </c>
      <c r="Q81" s="412">
        <f t="shared" si="10"/>
        <v>43750</v>
      </c>
    </row>
    <row r="82" spans="1:17" s="185" customFormat="1" ht="21" customHeight="1">
      <c r="A82" s="413">
        <v>330600</v>
      </c>
      <c r="B82" s="216">
        <v>0</v>
      </c>
      <c r="C82" s="216">
        <v>0</v>
      </c>
      <c r="D82" s="216">
        <v>0</v>
      </c>
      <c r="E82" s="216">
        <v>0</v>
      </c>
      <c r="F82" s="216">
        <v>0</v>
      </c>
      <c r="G82" s="216">
        <v>0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6">
        <v>0</v>
      </c>
      <c r="O82" s="216">
        <v>37227</v>
      </c>
      <c r="P82" s="216">
        <v>0</v>
      </c>
      <c r="Q82" s="412">
        <f t="shared" si="10"/>
        <v>37227</v>
      </c>
    </row>
    <row r="83" spans="1:17" s="185" customFormat="1" ht="21" customHeight="1">
      <c r="A83" s="413">
        <v>330700</v>
      </c>
      <c r="B83" s="216">
        <v>2470</v>
      </c>
      <c r="C83" s="216">
        <v>0</v>
      </c>
      <c r="D83" s="216">
        <v>0</v>
      </c>
      <c r="E83" s="216">
        <v>0</v>
      </c>
      <c r="F83" s="216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216">
        <v>0</v>
      </c>
      <c r="P83" s="216">
        <v>0</v>
      </c>
      <c r="Q83" s="412">
        <f t="shared" si="10"/>
        <v>2470</v>
      </c>
    </row>
    <row r="84" spans="1:17" s="185" customFormat="1" ht="21" customHeight="1">
      <c r="A84" s="413">
        <v>330800</v>
      </c>
      <c r="B84" s="216">
        <v>27922</v>
      </c>
      <c r="C84" s="216">
        <v>0</v>
      </c>
      <c r="D84" s="216">
        <v>0</v>
      </c>
      <c r="E84" s="216">
        <v>0</v>
      </c>
      <c r="F84" s="216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412">
        <f t="shared" si="10"/>
        <v>27922</v>
      </c>
    </row>
    <row r="85" spans="1:17" s="185" customFormat="1" ht="21" customHeight="1">
      <c r="A85" s="413">
        <v>330900</v>
      </c>
      <c r="B85" s="216">
        <v>0</v>
      </c>
      <c r="C85" s="216">
        <v>0</v>
      </c>
      <c r="D85" s="216">
        <v>0</v>
      </c>
      <c r="E85" s="216">
        <v>0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216">
        <v>0</v>
      </c>
      <c r="Q85" s="412">
        <f t="shared" si="10"/>
        <v>0</v>
      </c>
    </row>
    <row r="86" spans="1:17" s="185" customFormat="1" ht="21" customHeight="1">
      <c r="A86" s="413">
        <v>331000</v>
      </c>
      <c r="B86" s="216">
        <v>0</v>
      </c>
      <c r="C86" s="216">
        <v>0</v>
      </c>
      <c r="D86" s="216">
        <v>0</v>
      </c>
      <c r="E86" s="216">
        <v>0</v>
      </c>
      <c r="F86" s="216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9480</v>
      </c>
      <c r="O86" s="216">
        <v>0</v>
      </c>
      <c r="P86" s="216">
        <v>0</v>
      </c>
      <c r="Q86" s="412">
        <f t="shared" si="10"/>
        <v>9480</v>
      </c>
    </row>
    <row r="87" spans="1:17" s="185" customFormat="1" ht="21" customHeight="1">
      <c r="A87" s="413">
        <v>331100</v>
      </c>
      <c r="B87" s="216">
        <v>800</v>
      </c>
      <c r="C87" s="216">
        <v>0</v>
      </c>
      <c r="D87" s="216">
        <v>0</v>
      </c>
      <c r="E87" s="216">
        <v>0</v>
      </c>
      <c r="F87" s="216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0</v>
      </c>
      <c r="O87" s="216">
        <v>0</v>
      </c>
      <c r="P87" s="216">
        <v>0</v>
      </c>
      <c r="Q87" s="412">
        <f t="shared" si="10"/>
        <v>800</v>
      </c>
    </row>
    <row r="88" spans="1:17" s="185" customFormat="1" ht="21" customHeight="1">
      <c r="A88" s="413">
        <v>331400</v>
      </c>
      <c r="B88" s="216">
        <v>1100</v>
      </c>
      <c r="C88" s="216">
        <v>0</v>
      </c>
      <c r="D88" s="216">
        <v>0</v>
      </c>
      <c r="E88" s="216">
        <v>0</v>
      </c>
      <c r="F88" s="216">
        <v>0</v>
      </c>
      <c r="G88" s="216">
        <v>0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6">
        <v>0</v>
      </c>
      <c r="O88" s="216">
        <v>0</v>
      </c>
      <c r="P88" s="216">
        <v>0</v>
      </c>
      <c r="Q88" s="412">
        <f t="shared" si="10"/>
        <v>1100</v>
      </c>
    </row>
    <row r="89" spans="1:17" s="185" customFormat="1" ht="21" customHeight="1">
      <c r="A89" s="413">
        <v>331700</v>
      </c>
      <c r="B89" s="216">
        <v>0</v>
      </c>
      <c r="C89" s="216">
        <v>0</v>
      </c>
      <c r="D89" s="216">
        <v>0</v>
      </c>
      <c r="E89" s="216">
        <v>0</v>
      </c>
      <c r="F89" s="216">
        <v>0</v>
      </c>
      <c r="G89" s="216">
        <f>13200-13200</f>
        <v>0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6">
        <v>0</v>
      </c>
      <c r="O89" s="216">
        <v>0</v>
      </c>
      <c r="P89" s="216">
        <v>0</v>
      </c>
      <c r="Q89" s="412">
        <f t="shared" si="10"/>
        <v>0</v>
      </c>
    </row>
    <row r="90" spans="1:17" s="185" customFormat="1" ht="21" customHeight="1">
      <c r="A90" s="413">
        <v>331800</v>
      </c>
      <c r="B90" s="216">
        <v>0</v>
      </c>
      <c r="C90" s="216">
        <v>0</v>
      </c>
      <c r="D90" s="216">
        <v>0</v>
      </c>
      <c r="E90" s="216">
        <v>0</v>
      </c>
      <c r="F90" s="216">
        <v>0</v>
      </c>
      <c r="G90" s="216">
        <f>13200-13200</f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6">
        <v>0</v>
      </c>
      <c r="O90" s="216">
        <v>0</v>
      </c>
      <c r="P90" s="216">
        <v>0</v>
      </c>
      <c r="Q90" s="412">
        <f t="shared" si="10"/>
        <v>0</v>
      </c>
    </row>
    <row r="91" spans="1:17" s="185" customFormat="1" ht="21" customHeight="1">
      <c r="A91" s="413">
        <v>331900</v>
      </c>
      <c r="B91" s="216">
        <v>0</v>
      </c>
      <c r="C91" s="216">
        <v>0</v>
      </c>
      <c r="D91" s="216">
        <v>0</v>
      </c>
      <c r="E91" s="216">
        <v>0</v>
      </c>
      <c r="F91" s="216">
        <v>0</v>
      </c>
      <c r="G91" s="216">
        <f>13200-13200</f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16">
        <v>0</v>
      </c>
      <c r="Q91" s="412">
        <f>SUM(B91:P91)</f>
        <v>0</v>
      </c>
    </row>
    <row r="92" spans="1:17" ht="18.75">
      <c r="A92" s="72" t="s">
        <v>19</v>
      </c>
      <c r="B92" s="73">
        <f>SUM(B79:B91)</f>
        <v>32292</v>
      </c>
      <c r="C92" s="73">
        <f aca="true" t="shared" si="11" ref="C92:P92">SUM(C79:C91)</f>
        <v>0</v>
      </c>
      <c r="D92" s="73">
        <f t="shared" si="11"/>
        <v>0</v>
      </c>
      <c r="E92" s="73">
        <f t="shared" si="11"/>
        <v>0</v>
      </c>
      <c r="F92" s="73">
        <f t="shared" si="11"/>
        <v>0</v>
      </c>
      <c r="G92" s="73">
        <f t="shared" si="11"/>
        <v>0</v>
      </c>
      <c r="H92" s="73">
        <f t="shared" si="11"/>
        <v>0</v>
      </c>
      <c r="I92" s="73">
        <f t="shared" si="11"/>
        <v>0</v>
      </c>
      <c r="J92" s="73">
        <f t="shared" si="11"/>
        <v>0</v>
      </c>
      <c r="K92" s="73">
        <f t="shared" si="11"/>
        <v>0</v>
      </c>
      <c r="L92" s="73">
        <f t="shared" si="11"/>
        <v>0</v>
      </c>
      <c r="M92" s="73">
        <f t="shared" si="11"/>
        <v>0</v>
      </c>
      <c r="N92" s="73">
        <f t="shared" si="11"/>
        <v>9480</v>
      </c>
      <c r="O92" s="73">
        <f t="shared" si="11"/>
        <v>80977</v>
      </c>
      <c r="P92" s="73">
        <f t="shared" si="11"/>
        <v>0</v>
      </c>
      <c r="Q92" s="412">
        <f t="shared" si="10"/>
        <v>122749</v>
      </c>
    </row>
    <row r="93" spans="1:17" s="79" customFormat="1" ht="18.75">
      <c r="A93" s="72" t="s">
        <v>20</v>
      </c>
      <c r="B93" s="73">
        <f>10810+31819+52305+35629+25635+39694+30048+18163+43300+32292</f>
        <v>319695</v>
      </c>
      <c r="C93" s="73">
        <f>5400+17100+5400+13550</f>
        <v>41450</v>
      </c>
      <c r="D93" s="73">
        <f>0</f>
        <v>0</v>
      </c>
      <c r="E93" s="73">
        <f>0</f>
        <v>0</v>
      </c>
      <c r="F93" s="73">
        <v>352922.5</v>
      </c>
      <c r="G93" s="73">
        <v>0</v>
      </c>
      <c r="H93" s="73">
        <f>0</f>
        <v>0</v>
      </c>
      <c r="I93" s="73">
        <v>5680</v>
      </c>
      <c r="J93" s="73">
        <f>0</f>
        <v>0</v>
      </c>
      <c r="K93" s="73">
        <f>0</f>
        <v>0</v>
      </c>
      <c r="L93" s="73">
        <v>0</v>
      </c>
      <c r="M93" s="73">
        <f>0</f>
        <v>0</v>
      </c>
      <c r="N93" s="73">
        <f>5250+11620+6960+11080+9480</f>
        <v>44390</v>
      </c>
      <c r="O93" s="73">
        <f>25000+35000+40495.7+49000+80977</f>
        <v>230472.7</v>
      </c>
      <c r="P93" s="73">
        <f>0</f>
        <v>0</v>
      </c>
      <c r="Q93" s="412">
        <f t="shared" si="10"/>
        <v>994610.2</v>
      </c>
    </row>
    <row r="94" spans="1:17" s="185" customFormat="1" ht="21" customHeight="1">
      <c r="A94" s="414">
        <v>534000</v>
      </c>
      <c r="B94" s="416"/>
      <c r="C94" s="74"/>
      <c r="D94" s="74"/>
      <c r="E94" s="416"/>
      <c r="F94" s="412"/>
      <c r="G94" s="74"/>
      <c r="H94" s="74"/>
      <c r="I94" s="74"/>
      <c r="J94" s="73"/>
      <c r="K94" s="412"/>
      <c r="L94" s="74"/>
      <c r="M94" s="74"/>
      <c r="N94" s="412"/>
      <c r="O94" s="74"/>
      <c r="P94" s="73"/>
      <c r="Q94" s="412"/>
    </row>
    <row r="95" spans="1:17" s="185" customFormat="1" ht="21" customHeight="1">
      <c r="A95" s="413">
        <v>340100</v>
      </c>
      <c r="B95" s="216">
        <v>9682.68</v>
      </c>
      <c r="C95" s="216">
        <v>0</v>
      </c>
      <c r="D95" s="216">
        <v>0</v>
      </c>
      <c r="E95" s="216">
        <v>0</v>
      </c>
      <c r="F95" s="216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6">
        <v>0</v>
      </c>
      <c r="O95" s="216">
        <v>11395.04</v>
      </c>
      <c r="P95" s="216">
        <v>0</v>
      </c>
      <c r="Q95" s="412">
        <f aca="true" t="shared" si="12" ref="Q95:Q100">SUM(B95:P95)</f>
        <v>21077.72</v>
      </c>
    </row>
    <row r="96" spans="1:17" s="185" customFormat="1" ht="21" customHeight="1">
      <c r="A96" s="413">
        <v>340300</v>
      </c>
      <c r="B96" s="216">
        <v>508.41</v>
      </c>
      <c r="C96" s="216">
        <v>0</v>
      </c>
      <c r="D96" s="216">
        <v>0</v>
      </c>
      <c r="E96" s="216">
        <v>0</v>
      </c>
      <c r="F96" s="216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6">
        <v>0</v>
      </c>
      <c r="O96" s="216">
        <v>0</v>
      </c>
      <c r="P96" s="216">
        <v>0</v>
      </c>
      <c r="Q96" s="412">
        <f t="shared" si="12"/>
        <v>508.41</v>
      </c>
    </row>
    <row r="97" spans="1:17" s="185" customFormat="1" ht="21" customHeight="1">
      <c r="A97" s="413">
        <v>340400</v>
      </c>
      <c r="B97" s="216">
        <v>291</v>
      </c>
      <c r="C97" s="216">
        <v>0</v>
      </c>
      <c r="D97" s="216">
        <v>0</v>
      </c>
      <c r="E97" s="216">
        <v>0</v>
      </c>
      <c r="F97" s="216"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6">
        <v>0</v>
      </c>
      <c r="O97" s="216">
        <v>0</v>
      </c>
      <c r="P97" s="216">
        <v>0</v>
      </c>
      <c r="Q97" s="412">
        <f t="shared" si="12"/>
        <v>291</v>
      </c>
    </row>
    <row r="98" spans="1:17" s="185" customFormat="1" ht="21" customHeight="1">
      <c r="A98" s="413">
        <v>340500</v>
      </c>
      <c r="B98" s="216">
        <v>5243</v>
      </c>
      <c r="C98" s="216">
        <v>0</v>
      </c>
      <c r="D98" s="216">
        <v>0</v>
      </c>
      <c r="E98" s="216">
        <v>0</v>
      </c>
      <c r="F98" s="216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6">
        <v>0</v>
      </c>
      <c r="O98" s="216">
        <v>0</v>
      </c>
      <c r="P98" s="216">
        <v>0</v>
      </c>
      <c r="Q98" s="412">
        <f t="shared" si="12"/>
        <v>5243</v>
      </c>
    </row>
    <row r="99" spans="1:17" ht="18.75">
      <c r="A99" s="72" t="s">
        <v>19</v>
      </c>
      <c r="B99" s="74">
        <f>SUM(B95:B98)</f>
        <v>15725.09</v>
      </c>
      <c r="C99" s="74">
        <f aca="true" t="shared" si="13" ref="C99:P99">SUM(C95:C98)</f>
        <v>0</v>
      </c>
      <c r="D99" s="74">
        <f t="shared" si="13"/>
        <v>0</v>
      </c>
      <c r="E99" s="74">
        <f t="shared" si="13"/>
        <v>0</v>
      </c>
      <c r="F99" s="74">
        <f t="shared" si="13"/>
        <v>0</v>
      </c>
      <c r="G99" s="74">
        <f t="shared" si="13"/>
        <v>0</v>
      </c>
      <c r="H99" s="74">
        <f t="shared" si="13"/>
        <v>0</v>
      </c>
      <c r="I99" s="74">
        <f t="shared" si="13"/>
        <v>0</v>
      </c>
      <c r="J99" s="74">
        <f t="shared" si="13"/>
        <v>0</v>
      </c>
      <c r="K99" s="74">
        <f t="shared" si="13"/>
        <v>0</v>
      </c>
      <c r="L99" s="74">
        <f t="shared" si="13"/>
        <v>0</v>
      </c>
      <c r="M99" s="74">
        <f t="shared" si="13"/>
        <v>0</v>
      </c>
      <c r="N99" s="74">
        <f t="shared" si="13"/>
        <v>0</v>
      </c>
      <c r="O99" s="74">
        <f t="shared" si="13"/>
        <v>11395.04</v>
      </c>
      <c r="P99" s="74">
        <f t="shared" si="13"/>
        <v>0</v>
      </c>
      <c r="Q99" s="412">
        <f t="shared" si="12"/>
        <v>27120.13</v>
      </c>
    </row>
    <row r="100" spans="1:17" s="79" customFormat="1" ht="18.75">
      <c r="A100" s="72" t="s">
        <v>20</v>
      </c>
      <c r="B100" s="73">
        <f>13003.24+11775.36+16540.26+9243.87+12737+14159.42+10023.18+19398.81+15808.47+15725.09</f>
        <v>138414.7</v>
      </c>
      <c r="C100" s="73">
        <f>0</f>
        <v>0</v>
      </c>
      <c r="D100" s="73">
        <f>0</f>
        <v>0</v>
      </c>
      <c r="E100" s="73">
        <f>0</f>
        <v>0</v>
      </c>
      <c r="F100" s="73">
        <f>0</f>
        <v>0</v>
      </c>
      <c r="G100" s="73">
        <f>0</f>
        <v>0</v>
      </c>
      <c r="H100" s="73">
        <f>0</f>
        <v>0</v>
      </c>
      <c r="I100" s="73">
        <f>0</f>
        <v>0</v>
      </c>
      <c r="J100" s="73">
        <f>0</f>
        <v>0</v>
      </c>
      <c r="K100" s="73">
        <f>0</f>
        <v>0</v>
      </c>
      <c r="L100" s="73">
        <f>0</f>
        <v>0</v>
      </c>
      <c r="M100" s="73">
        <f>0</f>
        <v>0</v>
      </c>
      <c r="N100" s="73">
        <f>0</f>
        <v>0</v>
      </c>
      <c r="O100" s="73">
        <f>7694.78+7150.59+5409.28+6606.42+8565.42+8238.93+12592.22+13027.51+10850.88+11395.04</f>
        <v>91531.07</v>
      </c>
      <c r="P100" s="73">
        <f>0</f>
        <v>0</v>
      </c>
      <c r="Q100" s="412">
        <f t="shared" si="12"/>
        <v>229945.77000000002</v>
      </c>
    </row>
    <row r="101" spans="1:17" s="79" customFormat="1" ht="17.25" customHeight="1">
      <c r="A101" s="78"/>
      <c r="B101" s="420"/>
      <c r="C101" s="514" t="s">
        <v>7</v>
      </c>
      <c r="D101" s="514"/>
      <c r="E101" s="514"/>
      <c r="F101" s="85"/>
      <c r="G101" s="85"/>
      <c r="H101" s="296"/>
      <c r="I101" s="514" t="s">
        <v>101</v>
      </c>
      <c r="J101" s="514"/>
      <c r="K101" s="514"/>
      <c r="L101" s="420"/>
      <c r="M101" s="420"/>
      <c r="N101" s="420"/>
      <c r="O101" s="420"/>
      <c r="P101" s="420"/>
      <c r="Q101" s="421"/>
    </row>
    <row r="102" spans="1:17" s="79" customFormat="1" ht="18.75">
      <c r="A102" s="78"/>
      <c r="B102" s="80"/>
      <c r="C102" s="85"/>
      <c r="D102" s="85"/>
      <c r="E102" s="85"/>
      <c r="F102" s="85"/>
      <c r="G102" s="85"/>
      <c r="H102" s="85"/>
      <c r="I102" s="85"/>
      <c r="J102" s="85"/>
      <c r="K102" s="85"/>
      <c r="L102" s="80"/>
      <c r="M102" s="80"/>
      <c r="N102" s="80"/>
      <c r="O102" s="80"/>
      <c r="P102" s="80"/>
      <c r="Q102" s="83"/>
    </row>
    <row r="103" spans="1:17" s="79" customFormat="1" ht="18.75">
      <c r="A103" s="78"/>
      <c r="B103" s="80"/>
      <c r="C103" s="85"/>
      <c r="D103" s="85"/>
      <c r="E103" s="85"/>
      <c r="F103" s="85"/>
      <c r="G103" s="85"/>
      <c r="H103" s="80"/>
      <c r="I103" s="85"/>
      <c r="J103" s="75"/>
      <c r="K103" s="75"/>
      <c r="L103" s="80"/>
      <c r="M103" s="80"/>
      <c r="N103" s="80"/>
      <c r="O103" s="80"/>
      <c r="P103" s="80"/>
      <c r="Q103" s="83"/>
    </row>
    <row r="104" spans="1:17" s="79" customFormat="1" ht="18.75">
      <c r="A104" s="78"/>
      <c r="B104" s="80"/>
      <c r="C104" s="514" t="s">
        <v>119</v>
      </c>
      <c r="D104" s="514"/>
      <c r="E104" s="514"/>
      <c r="F104" s="85"/>
      <c r="G104" s="85"/>
      <c r="H104" s="85"/>
      <c r="I104" s="514" t="s">
        <v>238</v>
      </c>
      <c r="J104" s="514"/>
      <c r="K104" s="514"/>
      <c r="L104" s="80"/>
      <c r="M104" s="80"/>
      <c r="N104" s="80"/>
      <c r="O104" s="80"/>
      <c r="P104" s="80"/>
      <c r="Q104" s="83"/>
    </row>
    <row r="105" spans="1:17" s="79" customFormat="1" ht="18.75">
      <c r="A105" s="78"/>
      <c r="B105" s="80"/>
      <c r="C105" s="514" t="s">
        <v>111</v>
      </c>
      <c r="D105" s="514"/>
      <c r="E105" s="514"/>
      <c r="F105" s="85"/>
      <c r="G105" s="85"/>
      <c r="H105" s="85"/>
      <c r="I105" s="514" t="s">
        <v>100</v>
      </c>
      <c r="J105" s="514"/>
      <c r="K105" s="514"/>
      <c r="L105" s="80"/>
      <c r="M105" s="80"/>
      <c r="N105" s="80"/>
      <c r="O105" s="80"/>
      <c r="P105" s="80"/>
      <c r="Q105" s="83"/>
    </row>
    <row r="106" spans="1:17" s="79" customFormat="1" ht="18.75">
      <c r="A106" s="78"/>
      <c r="B106" s="80"/>
      <c r="C106" s="85"/>
      <c r="D106" s="85"/>
      <c r="E106" s="85"/>
      <c r="F106" s="85"/>
      <c r="G106" s="85"/>
      <c r="H106" s="85"/>
      <c r="I106" s="80"/>
      <c r="J106" s="80"/>
      <c r="K106" s="80"/>
      <c r="L106" s="80"/>
      <c r="M106" s="80"/>
      <c r="N106" s="80"/>
      <c r="O106" s="80"/>
      <c r="P106" s="80"/>
      <c r="Q106" s="83"/>
    </row>
    <row r="107" spans="1:17" s="79" customFormat="1" ht="18.75">
      <c r="A107" s="78"/>
      <c r="B107" s="80"/>
      <c r="C107" s="85"/>
      <c r="D107" s="85"/>
      <c r="E107" s="85"/>
      <c r="F107" s="85"/>
      <c r="G107" s="85"/>
      <c r="H107" s="85"/>
      <c r="I107" s="80"/>
      <c r="J107" s="80"/>
      <c r="K107" s="80"/>
      <c r="L107" s="80"/>
      <c r="M107" s="80"/>
      <c r="N107" s="80"/>
      <c r="O107" s="80"/>
      <c r="P107" s="80"/>
      <c r="Q107" s="83"/>
    </row>
    <row r="108" spans="1:17" s="79" customFormat="1" ht="18.75">
      <c r="A108" s="78"/>
      <c r="B108" s="80"/>
      <c r="C108" s="85"/>
      <c r="D108" s="85"/>
      <c r="E108" s="85"/>
      <c r="F108" s="85"/>
      <c r="G108" s="85"/>
      <c r="H108" s="85"/>
      <c r="I108" s="80"/>
      <c r="J108" s="80"/>
      <c r="K108" s="80"/>
      <c r="L108" s="80"/>
      <c r="M108" s="80"/>
      <c r="N108" s="80"/>
      <c r="O108" s="80"/>
      <c r="P108" s="80"/>
      <c r="Q108" s="83"/>
    </row>
    <row r="109" spans="1:17" s="79" customFormat="1" ht="18.75">
      <c r="A109" s="78"/>
      <c r="B109" s="80"/>
      <c r="C109" s="85"/>
      <c r="D109" s="85"/>
      <c r="E109" s="85"/>
      <c r="F109" s="85"/>
      <c r="G109" s="85"/>
      <c r="H109" s="85"/>
      <c r="I109" s="80"/>
      <c r="J109" s="80"/>
      <c r="K109" s="80"/>
      <c r="L109" s="80"/>
      <c r="M109" s="80"/>
      <c r="N109" s="80"/>
      <c r="O109" s="80"/>
      <c r="P109" s="80"/>
      <c r="Q109" s="83"/>
    </row>
    <row r="110" spans="1:17" s="79" customFormat="1" ht="18.75">
      <c r="A110" s="78"/>
      <c r="B110" s="80"/>
      <c r="C110" s="85"/>
      <c r="D110" s="85"/>
      <c r="E110" s="85"/>
      <c r="F110" s="85"/>
      <c r="G110" s="85"/>
      <c r="H110" s="85"/>
      <c r="I110" s="80"/>
      <c r="J110" s="80"/>
      <c r="K110" s="80"/>
      <c r="L110" s="80"/>
      <c r="M110" s="80"/>
      <c r="N110" s="80"/>
      <c r="O110" s="80"/>
      <c r="P110" s="80"/>
      <c r="Q110" s="83"/>
    </row>
    <row r="111" spans="1:17" s="79" customFormat="1" ht="18.75">
      <c r="A111" s="78"/>
      <c r="B111" s="80"/>
      <c r="C111" s="85"/>
      <c r="D111" s="85"/>
      <c r="E111" s="85"/>
      <c r="F111" s="85"/>
      <c r="G111" s="85"/>
      <c r="H111" s="85"/>
      <c r="I111" s="80"/>
      <c r="J111" s="80"/>
      <c r="K111" s="80"/>
      <c r="L111" s="80"/>
      <c r="M111" s="80"/>
      <c r="N111" s="80"/>
      <c r="O111" s="80"/>
      <c r="P111" s="80"/>
      <c r="Q111" s="83"/>
    </row>
    <row r="112" spans="1:17" s="79" customFormat="1" ht="18.75">
      <c r="A112" s="78"/>
      <c r="B112" s="80"/>
      <c r="C112" s="85"/>
      <c r="D112" s="85"/>
      <c r="E112" s="85"/>
      <c r="F112" s="85"/>
      <c r="G112" s="85"/>
      <c r="H112" s="85"/>
      <c r="I112" s="80"/>
      <c r="J112" s="80"/>
      <c r="K112" s="80"/>
      <c r="L112" s="80"/>
      <c r="M112" s="80"/>
      <c r="N112" s="80"/>
      <c r="O112" s="80"/>
      <c r="P112" s="80"/>
      <c r="Q112" s="83"/>
    </row>
    <row r="113" spans="1:17" ht="19.5" thickBot="1">
      <c r="A113" s="518" t="s">
        <v>237</v>
      </c>
      <c r="B113" s="518"/>
      <c r="C113" s="518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518"/>
      <c r="P113" s="518"/>
      <c r="Q113" s="518"/>
    </row>
    <row r="114" spans="1:17" s="62" customFormat="1" ht="18.75">
      <c r="A114" s="57" t="s">
        <v>16</v>
      </c>
      <c r="B114" s="512" t="s">
        <v>82</v>
      </c>
      <c r="C114" s="513"/>
      <c r="D114" s="512" t="s">
        <v>85</v>
      </c>
      <c r="E114" s="513"/>
      <c r="F114" s="58" t="s">
        <v>91</v>
      </c>
      <c r="G114" s="58" t="s">
        <v>92</v>
      </c>
      <c r="H114" s="59" t="s">
        <v>95</v>
      </c>
      <c r="I114" s="512" t="s">
        <v>86</v>
      </c>
      <c r="J114" s="513"/>
      <c r="K114" s="60" t="s">
        <v>96</v>
      </c>
      <c r="L114" s="512" t="s">
        <v>87</v>
      </c>
      <c r="M114" s="513"/>
      <c r="N114" s="60" t="s">
        <v>99</v>
      </c>
      <c r="O114" s="60" t="s">
        <v>115</v>
      </c>
      <c r="P114" s="58" t="s">
        <v>80</v>
      </c>
      <c r="Q114" s="61" t="s">
        <v>17</v>
      </c>
    </row>
    <row r="115" spans="1:17" s="62" customFormat="1" ht="19.5" thickBot="1">
      <c r="A115" s="63" t="s">
        <v>18</v>
      </c>
      <c r="B115" s="65" t="s">
        <v>83</v>
      </c>
      <c r="C115" s="66" t="s">
        <v>84</v>
      </c>
      <c r="D115" s="64" t="s">
        <v>76</v>
      </c>
      <c r="E115" s="64" t="s">
        <v>77</v>
      </c>
      <c r="F115" s="65" t="s">
        <v>90</v>
      </c>
      <c r="G115" s="65" t="s">
        <v>93</v>
      </c>
      <c r="H115" s="68" t="s">
        <v>94</v>
      </c>
      <c r="I115" s="64" t="s">
        <v>78</v>
      </c>
      <c r="J115" s="64" t="s">
        <v>79</v>
      </c>
      <c r="K115" s="69" t="s">
        <v>97</v>
      </c>
      <c r="L115" s="66" t="s">
        <v>88</v>
      </c>
      <c r="M115" s="67" t="s">
        <v>89</v>
      </c>
      <c r="N115" s="69" t="s">
        <v>98</v>
      </c>
      <c r="O115" s="69" t="s">
        <v>116</v>
      </c>
      <c r="P115" s="64" t="s">
        <v>81</v>
      </c>
      <c r="Q115" s="70"/>
    </row>
    <row r="116" spans="1:17" s="185" customFormat="1" ht="21" customHeight="1">
      <c r="A116" s="414">
        <v>541000</v>
      </c>
      <c r="B116" s="416"/>
      <c r="C116" s="74"/>
      <c r="D116" s="74"/>
      <c r="E116" s="416"/>
      <c r="F116" s="412"/>
      <c r="G116" s="74"/>
      <c r="H116" s="74"/>
      <c r="I116" s="74"/>
      <c r="J116" s="73"/>
      <c r="K116" s="412"/>
      <c r="L116" s="74"/>
      <c r="M116" s="74"/>
      <c r="N116" s="412"/>
      <c r="O116" s="74"/>
      <c r="P116" s="73"/>
      <c r="Q116" s="412"/>
    </row>
    <row r="117" spans="1:17" s="185" customFormat="1" ht="21" customHeight="1">
      <c r="A117" s="419">
        <v>410100</v>
      </c>
      <c r="B117" s="426">
        <v>0</v>
      </c>
      <c r="C117" s="216">
        <v>0</v>
      </c>
      <c r="D117" s="216">
        <v>0</v>
      </c>
      <c r="E117" s="426">
        <f>22500-9000-13500</f>
        <v>0</v>
      </c>
      <c r="F117" s="216">
        <v>0</v>
      </c>
      <c r="G117" s="216">
        <v>0</v>
      </c>
      <c r="H117" s="216">
        <v>0</v>
      </c>
      <c r="I117" s="216">
        <v>0</v>
      </c>
      <c r="J117" s="216">
        <v>0</v>
      </c>
      <c r="K117" s="216">
        <v>0</v>
      </c>
      <c r="L117" s="412">
        <v>0</v>
      </c>
      <c r="M117" s="216">
        <v>0</v>
      </c>
      <c r="N117" s="216">
        <v>0</v>
      </c>
      <c r="O117" s="216">
        <v>0</v>
      </c>
      <c r="P117" s="216">
        <v>0</v>
      </c>
      <c r="Q117" s="412">
        <f>SUM(B117:P117)</f>
        <v>0</v>
      </c>
    </row>
    <row r="118" spans="1:17" s="185" customFormat="1" ht="21" customHeight="1">
      <c r="A118" s="413">
        <v>410300</v>
      </c>
      <c r="B118" s="216">
        <v>0</v>
      </c>
      <c r="C118" s="216">
        <v>0</v>
      </c>
      <c r="D118" s="216">
        <v>0</v>
      </c>
      <c r="E118" s="216">
        <v>0</v>
      </c>
      <c r="F118" s="216">
        <v>0</v>
      </c>
      <c r="G118" s="216">
        <v>0</v>
      </c>
      <c r="H118" s="216">
        <v>0</v>
      </c>
      <c r="I118" s="216">
        <v>0</v>
      </c>
      <c r="J118" s="216">
        <v>0</v>
      </c>
      <c r="K118" s="216">
        <v>0</v>
      </c>
      <c r="L118" s="216">
        <v>0</v>
      </c>
      <c r="M118" s="216">
        <v>0</v>
      </c>
      <c r="N118" s="216">
        <v>0</v>
      </c>
      <c r="O118" s="216">
        <v>0</v>
      </c>
      <c r="P118" s="216">
        <v>0</v>
      </c>
      <c r="Q118" s="412">
        <f aca="true" t="shared" si="14" ref="Q118:Q124">SUM(B118:P118)</f>
        <v>0</v>
      </c>
    </row>
    <row r="119" spans="1:17" s="185" customFormat="1" ht="21" customHeight="1">
      <c r="A119" s="413">
        <v>410700</v>
      </c>
      <c r="B119" s="216">
        <v>0</v>
      </c>
      <c r="C119" s="216">
        <v>0</v>
      </c>
      <c r="D119" s="216">
        <v>0</v>
      </c>
      <c r="E119" s="216">
        <v>0</v>
      </c>
      <c r="F119" s="216">
        <v>0</v>
      </c>
      <c r="G119" s="216">
        <v>0</v>
      </c>
      <c r="H119" s="216">
        <v>0</v>
      </c>
      <c r="I119" s="216">
        <v>0</v>
      </c>
      <c r="J119" s="216">
        <v>0</v>
      </c>
      <c r="K119" s="216">
        <v>0</v>
      </c>
      <c r="L119" s="216">
        <v>0</v>
      </c>
      <c r="M119" s="216">
        <v>0</v>
      </c>
      <c r="N119" s="216">
        <v>0</v>
      </c>
      <c r="O119" s="216">
        <v>0</v>
      </c>
      <c r="P119" s="216">
        <v>0</v>
      </c>
      <c r="Q119" s="412">
        <f t="shared" si="14"/>
        <v>0</v>
      </c>
    </row>
    <row r="120" spans="1:17" s="185" customFormat="1" ht="21" customHeight="1">
      <c r="A120" s="413">
        <v>410800</v>
      </c>
      <c r="B120" s="216">
        <v>0</v>
      </c>
      <c r="C120" s="216">
        <v>0</v>
      </c>
      <c r="D120" s="216">
        <v>0</v>
      </c>
      <c r="E120" s="216">
        <v>0</v>
      </c>
      <c r="F120" s="216">
        <v>0</v>
      </c>
      <c r="G120" s="216">
        <v>0</v>
      </c>
      <c r="H120" s="216">
        <v>0</v>
      </c>
      <c r="I120" s="216">
        <v>0</v>
      </c>
      <c r="J120" s="216">
        <v>0</v>
      </c>
      <c r="K120" s="216">
        <f>47500-47500</f>
        <v>0</v>
      </c>
      <c r="L120" s="216">
        <v>0</v>
      </c>
      <c r="M120" s="216">
        <v>0</v>
      </c>
      <c r="N120" s="216">
        <v>0</v>
      </c>
      <c r="O120" s="216">
        <v>0</v>
      </c>
      <c r="P120" s="216">
        <v>0</v>
      </c>
      <c r="Q120" s="412">
        <f t="shared" si="14"/>
        <v>0</v>
      </c>
    </row>
    <row r="121" spans="1:17" s="185" customFormat="1" ht="21" customHeight="1">
      <c r="A121" s="413">
        <v>410900</v>
      </c>
      <c r="B121" s="216">
        <v>0</v>
      </c>
      <c r="C121" s="216">
        <v>0</v>
      </c>
      <c r="D121" s="216">
        <v>0</v>
      </c>
      <c r="E121" s="216">
        <v>0</v>
      </c>
      <c r="F121" s="216">
        <v>0</v>
      </c>
      <c r="G121" s="216">
        <v>0</v>
      </c>
      <c r="H121" s="216">
        <v>0</v>
      </c>
      <c r="I121" s="216">
        <v>0</v>
      </c>
      <c r="J121" s="216">
        <v>0</v>
      </c>
      <c r="K121" s="216">
        <v>0</v>
      </c>
      <c r="L121" s="216">
        <v>0</v>
      </c>
      <c r="M121" s="216">
        <v>0</v>
      </c>
      <c r="N121" s="216">
        <v>0</v>
      </c>
      <c r="O121" s="216">
        <v>0</v>
      </c>
      <c r="P121" s="216">
        <v>0</v>
      </c>
      <c r="Q121" s="412">
        <f t="shared" si="14"/>
        <v>0</v>
      </c>
    </row>
    <row r="122" spans="1:17" s="185" customFormat="1" ht="21" customHeight="1">
      <c r="A122" s="413">
        <v>411700</v>
      </c>
      <c r="B122" s="216">
        <v>0</v>
      </c>
      <c r="C122" s="216">
        <f>27000-27000</f>
        <v>0</v>
      </c>
      <c r="D122" s="216">
        <v>0</v>
      </c>
      <c r="E122" s="216">
        <v>0</v>
      </c>
      <c r="F122" s="216">
        <v>0</v>
      </c>
      <c r="G122" s="216">
        <v>0</v>
      </c>
      <c r="H122" s="216">
        <v>0</v>
      </c>
      <c r="I122" s="216">
        <v>0</v>
      </c>
      <c r="J122" s="216">
        <v>0</v>
      </c>
      <c r="K122" s="216">
        <v>0</v>
      </c>
      <c r="L122" s="216">
        <v>0</v>
      </c>
      <c r="M122" s="216">
        <v>0</v>
      </c>
      <c r="N122" s="216">
        <v>0</v>
      </c>
      <c r="O122" s="216">
        <v>0</v>
      </c>
      <c r="P122" s="216">
        <v>0</v>
      </c>
      <c r="Q122" s="412">
        <f t="shared" si="14"/>
        <v>0</v>
      </c>
    </row>
    <row r="123" spans="1:17" ht="18.75">
      <c r="A123" s="72" t="s">
        <v>19</v>
      </c>
      <c r="B123" s="74">
        <f aca="true" t="shared" si="15" ref="B123:O123">SUM(B117:B122)</f>
        <v>0</v>
      </c>
      <c r="C123" s="74">
        <f t="shared" si="15"/>
        <v>0</v>
      </c>
      <c r="D123" s="74">
        <f t="shared" si="15"/>
        <v>0</v>
      </c>
      <c r="E123" s="74">
        <f t="shared" si="15"/>
        <v>0</v>
      </c>
      <c r="F123" s="74">
        <f t="shared" si="15"/>
        <v>0</v>
      </c>
      <c r="G123" s="74">
        <f t="shared" si="15"/>
        <v>0</v>
      </c>
      <c r="H123" s="74">
        <f t="shared" si="15"/>
        <v>0</v>
      </c>
      <c r="I123" s="74">
        <f t="shared" si="15"/>
        <v>0</v>
      </c>
      <c r="J123" s="74">
        <f t="shared" si="15"/>
        <v>0</v>
      </c>
      <c r="K123" s="74">
        <f t="shared" si="15"/>
        <v>0</v>
      </c>
      <c r="L123" s="74">
        <f t="shared" si="15"/>
        <v>0</v>
      </c>
      <c r="M123" s="74">
        <f t="shared" si="15"/>
        <v>0</v>
      </c>
      <c r="N123" s="74">
        <f t="shared" si="15"/>
        <v>0</v>
      </c>
      <c r="O123" s="74">
        <f t="shared" si="15"/>
        <v>0</v>
      </c>
      <c r="P123" s="74">
        <f>SUM(P117:P122)</f>
        <v>0</v>
      </c>
      <c r="Q123" s="412">
        <f t="shared" si="14"/>
        <v>0</v>
      </c>
    </row>
    <row r="124" spans="1:17" s="79" customFormat="1" ht="18.75">
      <c r="A124" s="72" t="s">
        <v>20</v>
      </c>
      <c r="B124" s="73">
        <f>19200+7500</f>
        <v>26700</v>
      </c>
      <c r="C124" s="73">
        <v>23200</v>
      </c>
      <c r="D124" s="73">
        <v>0</v>
      </c>
      <c r="E124" s="73">
        <f>0</f>
        <v>0</v>
      </c>
      <c r="F124" s="73">
        <v>0</v>
      </c>
      <c r="G124" s="73">
        <v>2500</v>
      </c>
      <c r="H124" s="73">
        <f>0</f>
        <v>0</v>
      </c>
      <c r="I124" s="73">
        <v>0</v>
      </c>
      <c r="J124" s="73">
        <f>0</f>
        <v>0</v>
      </c>
      <c r="K124" s="73">
        <v>6000</v>
      </c>
      <c r="L124" s="73">
        <f>0</f>
        <v>0</v>
      </c>
      <c r="M124" s="73">
        <f>0</f>
        <v>0</v>
      </c>
      <c r="N124" s="73">
        <v>0</v>
      </c>
      <c r="O124" s="73">
        <v>0</v>
      </c>
      <c r="P124" s="73">
        <f>0</f>
        <v>0</v>
      </c>
      <c r="Q124" s="412">
        <f t="shared" si="14"/>
        <v>58400</v>
      </c>
    </row>
    <row r="125" spans="1:17" s="185" customFormat="1" ht="21" customHeight="1">
      <c r="A125" s="414">
        <v>542000</v>
      </c>
      <c r="B125" s="416"/>
      <c r="C125" s="74"/>
      <c r="D125" s="74"/>
      <c r="E125" s="416"/>
      <c r="F125" s="412"/>
      <c r="G125" s="74"/>
      <c r="H125" s="74"/>
      <c r="I125" s="74"/>
      <c r="J125" s="73"/>
      <c r="K125" s="412"/>
      <c r="L125" s="74"/>
      <c r="M125" s="74"/>
      <c r="N125" s="412"/>
      <c r="O125" s="74"/>
      <c r="P125" s="73"/>
      <c r="Q125" s="412"/>
    </row>
    <row r="126" spans="1:17" s="185" customFormat="1" ht="18.75">
      <c r="A126" s="72">
        <v>420700</v>
      </c>
      <c r="B126" s="73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216">
        <v>0</v>
      </c>
      <c r="M126" s="73">
        <v>0</v>
      </c>
      <c r="N126" s="73">
        <v>0</v>
      </c>
      <c r="O126" s="73">
        <v>0</v>
      </c>
      <c r="P126" s="73">
        <v>0</v>
      </c>
      <c r="Q126" s="412">
        <f>SUM(B126:P126)</f>
        <v>0</v>
      </c>
    </row>
    <row r="127" spans="1:17" s="185" customFormat="1" ht="18.75">
      <c r="A127" s="72">
        <v>420900</v>
      </c>
      <c r="B127" s="73">
        <v>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412">
        <f>SUM(B127:P127)</f>
        <v>0</v>
      </c>
    </row>
    <row r="128" spans="1:17" s="185" customFormat="1" ht="18.75">
      <c r="A128" s="72">
        <v>421000</v>
      </c>
      <c r="B128" s="73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216">
        <v>0</v>
      </c>
      <c r="M128" s="73">
        <v>0</v>
      </c>
      <c r="N128" s="73">
        <v>0</v>
      </c>
      <c r="O128" s="73">
        <v>0</v>
      </c>
      <c r="P128" s="73">
        <v>0</v>
      </c>
      <c r="Q128" s="412">
        <f>SUM(B128:P128)</f>
        <v>0</v>
      </c>
    </row>
    <row r="129" spans="1:17" ht="18.75">
      <c r="A129" s="72" t="s">
        <v>19</v>
      </c>
      <c r="B129" s="74">
        <f aca="true" t="shared" si="16" ref="B129:O129">SUM(B126:B128)</f>
        <v>0</v>
      </c>
      <c r="C129" s="74">
        <f t="shared" si="16"/>
        <v>0</v>
      </c>
      <c r="D129" s="74">
        <f t="shared" si="16"/>
        <v>0</v>
      </c>
      <c r="E129" s="74">
        <f t="shared" si="16"/>
        <v>0</v>
      </c>
      <c r="F129" s="74">
        <f t="shared" si="16"/>
        <v>0</v>
      </c>
      <c r="G129" s="74">
        <f t="shared" si="16"/>
        <v>0</v>
      </c>
      <c r="H129" s="74">
        <f t="shared" si="16"/>
        <v>0</v>
      </c>
      <c r="I129" s="74">
        <f t="shared" si="16"/>
        <v>0</v>
      </c>
      <c r="J129" s="74">
        <f t="shared" si="16"/>
        <v>0</v>
      </c>
      <c r="K129" s="74">
        <f t="shared" si="16"/>
        <v>0</v>
      </c>
      <c r="L129" s="74">
        <f t="shared" si="16"/>
        <v>0</v>
      </c>
      <c r="M129" s="74">
        <f t="shared" si="16"/>
        <v>0</v>
      </c>
      <c r="N129" s="74">
        <f t="shared" si="16"/>
        <v>0</v>
      </c>
      <c r="O129" s="74">
        <f t="shared" si="16"/>
        <v>0</v>
      </c>
      <c r="P129" s="74">
        <f>SUM(P126:P128)</f>
        <v>0</v>
      </c>
      <c r="Q129" s="412">
        <f>SUM(B129:P129)</f>
        <v>0</v>
      </c>
    </row>
    <row r="130" spans="1:17" s="79" customFormat="1" ht="18.75">
      <c r="A130" s="72" t="s">
        <v>20</v>
      </c>
      <c r="B130" s="73">
        <v>0</v>
      </c>
      <c r="C130" s="73">
        <f>0</f>
        <v>0</v>
      </c>
      <c r="D130" s="73">
        <f>0</f>
        <v>0</v>
      </c>
      <c r="E130" s="73">
        <f>0</f>
        <v>0</v>
      </c>
      <c r="F130" s="73">
        <f>0</f>
        <v>0</v>
      </c>
      <c r="G130" s="73">
        <f>0</f>
        <v>0</v>
      </c>
      <c r="H130" s="73">
        <f>0</f>
        <v>0</v>
      </c>
      <c r="I130" s="73">
        <v>0</v>
      </c>
      <c r="J130" s="73">
        <v>509000</v>
      </c>
      <c r="K130" s="73">
        <f>0</f>
        <v>0</v>
      </c>
      <c r="L130" s="73">
        <f>0</f>
        <v>0</v>
      </c>
      <c r="M130" s="73">
        <f>0</f>
        <v>0</v>
      </c>
      <c r="N130" s="73">
        <v>0</v>
      </c>
      <c r="O130" s="73">
        <f>0</f>
        <v>0</v>
      </c>
      <c r="P130" s="73">
        <f>0</f>
        <v>0</v>
      </c>
      <c r="Q130" s="412">
        <f>SUM(B130:P130)</f>
        <v>509000</v>
      </c>
    </row>
    <row r="131" spans="1:17" s="185" customFormat="1" ht="21" customHeight="1">
      <c r="A131" s="414">
        <v>551000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412"/>
    </row>
    <row r="132" spans="1:17" s="185" customFormat="1" ht="21" customHeight="1">
      <c r="A132" s="413">
        <v>510100</v>
      </c>
      <c r="B132" s="216">
        <v>0</v>
      </c>
      <c r="C132" s="216">
        <v>0</v>
      </c>
      <c r="D132" s="216">
        <v>0</v>
      </c>
      <c r="E132" s="216">
        <v>0</v>
      </c>
      <c r="F132" s="216">
        <v>6000</v>
      </c>
      <c r="G132" s="216">
        <v>0</v>
      </c>
      <c r="H132" s="216">
        <v>0</v>
      </c>
      <c r="I132" s="216">
        <v>0</v>
      </c>
      <c r="J132" s="216">
        <v>0</v>
      </c>
      <c r="K132" s="216">
        <v>1360</v>
      </c>
      <c r="L132" s="216">
        <v>0</v>
      </c>
      <c r="M132" s="216">
        <v>0</v>
      </c>
      <c r="N132" s="216">
        <v>0</v>
      </c>
      <c r="O132" s="216">
        <v>0</v>
      </c>
      <c r="P132" s="216">
        <v>0</v>
      </c>
      <c r="Q132" s="412">
        <f>SUM(B132:P132)</f>
        <v>7360</v>
      </c>
    </row>
    <row r="133" spans="1:17" ht="18.75">
      <c r="A133" s="72" t="s">
        <v>19</v>
      </c>
      <c r="B133" s="73">
        <f aca="true" t="shared" si="17" ref="B133:P133">SUM(B132)</f>
        <v>0</v>
      </c>
      <c r="C133" s="73">
        <f t="shared" si="17"/>
        <v>0</v>
      </c>
      <c r="D133" s="73">
        <f t="shared" si="17"/>
        <v>0</v>
      </c>
      <c r="E133" s="73">
        <f t="shared" si="17"/>
        <v>0</v>
      </c>
      <c r="F133" s="73">
        <f t="shared" si="17"/>
        <v>6000</v>
      </c>
      <c r="G133" s="73">
        <f t="shared" si="17"/>
        <v>0</v>
      </c>
      <c r="H133" s="73">
        <f t="shared" si="17"/>
        <v>0</v>
      </c>
      <c r="I133" s="73">
        <f t="shared" si="17"/>
        <v>0</v>
      </c>
      <c r="J133" s="73">
        <f t="shared" si="17"/>
        <v>0</v>
      </c>
      <c r="K133" s="73">
        <f t="shared" si="17"/>
        <v>1360</v>
      </c>
      <c r="L133" s="73">
        <f t="shared" si="17"/>
        <v>0</v>
      </c>
      <c r="M133" s="73">
        <f t="shared" si="17"/>
        <v>0</v>
      </c>
      <c r="N133" s="73">
        <f t="shared" si="17"/>
        <v>0</v>
      </c>
      <c r="O133" s="73">
        <f t="shared" si="17"/>
        <v>0</v>
      </c>
      <c r="P133" s="73">
        <f t="shared" si="17"/>
        <v>0</v>
      </c>
      <c r="Q133" s="412">
        <f>SUM(B133:P133)</f>
        <v>7360</v>
      </c>
    </row>
    <row r="134" spans="1:17" s="79" customFormat="1" ht="18.75">
      <c r="A134" s="72" t="s">
        <v>20</v>
      </c>
      <c r="B134" s="73">
        <v>0</v>
      </c>
      <c r="C134" s="73">
        <f>0</f>
        <v>0</v>
      </c>
      <c r="D134" s="73">
        <v>0</v>
      </c>
      <c r="E134" s="73">
        <v>0</v>
      </c>
      <c r="F134" s="73">
        <f>318500+75620+6000+138775+6000</f>
        <v>544895</v>
      </c>
      <c r="G134" s="73">
        <v>0</v>
      </c>
      <c r="H134" s="73">
        <v>0</v>
      </c>
      <c r="I134" s="73">
        <f>0</f>
        <v>0</v>
      </c>
      <c r="J134" s="73">
        <f>0</f>
        <v>0</v>
      </c>
      <c r="K134" s="73">
        <f>19995+3750+1360</f>
        <v>25105</v>
      </c>
      <c r="L134" s="73">
        <f>0</f>
        <v>0</v>
      </c>
      <c r="M134" s="73">
        <v>0</v>
      </c>
      <c r="N134" s="73">
        <v>0</v>
      </c>
      <c r="O134" s="73">
        <v>0</v>
      </c>
      <c r="P134" s="73">
        <f>0</f>
        <v>0</v>
      </c>
      <c r="Q134" s="412">
        <f>SUM(B134:P134)</f>
        <v>570000</v>
      </c>
    </row>
    <row r="135" spans="1:17" s="185" customFormat="1" ht="21" customHeight="1">
      <c r="A135" s="414">
        <v>561000</v>
      </c>
      <c r="B135" s="416"/>
      <c r="C135" s="74"/>
      <c r="D135" s="74"/>
      <c r="E135" s="416"/>
      <c r="F135" s="412"/>
      <c r="G135" s="74"/>
      <c r="H135" s="74"/>
      <c r="I135" s="74"/>
      <c r="J135" s="73"/>
      <c r="K135" s="412"/>
      <c r="L135" s="74"/>
      <c r="M135" s="74"/>
      <c r="N135" s="412"/>
      <c r="O135" s="74"/>
      <c r="P135" s="73"/>
      <c r="Q135" s="412"/>
    </row>
    <row r="136" spans="1:17" s="185" customFormat="1" ht="21" customHeight="1">
      <c r="A136" s="413">
        <v>610100</v>
      </c>
      <c r="B136" s="216">
        <v>0</v>
      </c>
      <c r="C136" s="216">
        <v>0</v>
      </c>
      <c r="D136" s="216">
        <v>0</v>
      </c>
      <c r="E136" s="216">
        <f>1025600-335000-355600-335000</f>
        <v>0</v>
      </c>
      <c r="F136" s="216">
        <v>0</v>
      </c>
      <c r="G136" s="216">
        <v>0</v>
      </c>
      <c r="H136" s="216">
        <v>0</v>
      </c>
      <c r="I136" s="216">
        <v>0</v>
      </c>
      <c r="J136" s="216">
        <v>0</v>
      </c>
      <c r="K136" s="428">
        <v>0</v>
      </c>
      <c r="L136" s="216">
        <v>0</v>
      </c>
      <c r="M136" s="216">
        <v>0</v>
      </c>
      <c r="N136" s="428">
        <v>0</v>
      </c>
      <c r="O136" s="216">
        <v>0</v>
      </c>
      <c r="P136" s="216">
        <f>10000-10000</f>
        <v>0</v>
      </c>
      <c r="Q136" s="412">
        <f>SUM(B136:P136)</f>
        <v>0</v>
      </c>
    </row>
    <row r="137" spans="1:17" ht="18.75">
      <c r="A137" s="72" t="s">
        <v>19</v>
      </c>
      <c r="B137" s="73">
        <f aca="true" t="shared" si="18" ref="B137:O137">SUM(B136)</f>
        <v>0</v>
      </c>
      <c r="C137" s="73">
        <f t="shared" si="18"/>
        <v>0</v>
      </c>
      <c r="D137" s="73">
        <f t="shared" si="18"/>
        <v>0</v>
      </c>
      <c r="E137" s="73">
        <f t="shared" si="18"/>
        <v>0</v>
      </c>
      <c r="F137" s="73">
        <f t="shared" si="18"/>
        <v>0</v>
      </c>
      <c r="G137" s="73">
        <f t="shared" si="18"/>
        <v>0</v>
      </c>
      <c r="H137" s="73">
        <f t="shared" si="18"/>
        <v>0</v>
      </c>
      <c r="I137" s="73">
        <f t="shared" si="18"/>
        <v>0</v>
      </c>
      <c r="J137" s="73">
        <f t="shared" si="18"/>
        <v>0</v>
      </c>
      <c r="K137" s="73">
        <f t="shared" si="18"/>
        <v>0</v>
      </c>
      <c r="L137" s="73">
        <f t="shared" si="18"/>
        <v>0</v>
      </c>
      <c r="M137" s="73">
        <f t="shared" si="18"/>
        <v>0</v>
      </c>
      <c r="N137" s="73">
        <f t="shared" si="18"/>
        <v>0</v>
      </c>
      <c r="O137" s="73">
        <f t="shared" si="18"/>
        <v>0</v>
      </c>
      <c r="P137" s="73">
        <f>SUM(P136)</f>
        <v>0</v>
      </c>
      <c r="Q137" s="412">
        <f>SUM(B137:P137)</f>
        <v>0</v>
      </c>
    </row>
    <row r="138" spans="1:17" s="79" customFormat="1" ht="18.75">
      <c r="A138" s="72" t="s">
        <v>20</v>
      </c>
      <c r="B138" s="73">
        <v>0</v>
      </c>
      <c r="C138" s="73">
        <f>0</f>
        <v>0</v>
      </c>
      <c r="D138" s="73">
        <v>0</v>
      </c>
      <c r="E138" s="73">
        <v>0</v>
      </c>
      <c r="F138" s="73">
        <f>314000+314000</f>
        <v>628000</v>
      </c>
      <c r="G138" s="73">
        <v>0</v>
      </c>
      <c r="H138" s="73">
        <v>0</v>
      </c>
      <c r="I138" s="73">
        <f>0</f>
        <v>0</v>
      </c>
      <c r="J138" s="73">
        <f>0</f>
        <v>0</v>
      </c>
      <c r="K138" s="73">
        <f>120000</f>
        <v>120000</v>
      </c>
      <c r="L138" s="73">
        <f>0</f>
        <v>0</v>
      </c>
      <c r="M138" s="73">
        <v>5000</v>
      </c>
      <c r="N138" s="73">
        <v>0</v>
      </c>
      <c r="O138" s="73">
        <v>0</v>
      </c>
      <c r="P138" s="73">
        <f>0</f>
        <v>0</v>
      </c>
      <c r="Q138" s="412">
        <f>SUM(B138:P138)</f>
        <v>753000</v>
      </c>
    </row>
    <row r="139" spans="1:17" ht="18.75">
      <c r="A139" s="72" t="s">
        <v>73</v>
      </c>
      <c r="B139" s="74">
        <f aca="true" t="shared" si="19" ref="B139:P139">B14+B22+B29+B48+B56+B92+B99+B123+B129+B133+B137</f>
        <v>324672.41000000003</v>
      </c>
      <c r="C139" s="74">
        <f t="shared" si="19"/>
        <v>83588</v>
      </c>
      <c r="D139" s="74">
        <f t="shared" si="19"/>
        <v>0</v>
      </c>
      <c r="E139" s="74">
        <f t="shared" si="19"/>
        <v>0</v>
      </c>
      <c r="F139" s="74">
        <f t="shared" si="19"/>
        <v>22860</v>
      </c>
      <c r="G139" s="74">
        <f t="shared" si="19"/>
        <v>5700</v>
      </c>
      <c r="H139" s="74">
        <f t="shared" si="19"/>
        <v>0</v>
      </c>
      <c r="I139" s="74">
        <f t="shared" si="19"/>
        <v>89080</v>
      </c>
      <c r="J139" s="74">
        <f t="shared" si="19"/>
        <v>0</v>
      </c>
      <c r="K139" s="74">
        <f t="shared" si="19"/>
        <v>1360</v>
      </c>
      <c r="L139" s="74">
        <f t="shared" si="19"/>
        <v>0</v>
      </c>
      <c r="M139" s="74">
        <f t="shared" si="19"/>
        <v>0</v>
      </c>
      <c r="N139" s="74">
        <f t="shared" si="19"/>
        <v>9480</v>
      </c>
      <c r="O139" s="74">
        <f t="shared" si="19"/>
        <v>92372.04000000001</v>
      </c>
      <c r="P139" s="74">
        <f t="shared" si="19"/>
        <v>214149.96000000002</v>
      </c>
      <c r="Q139" s="74">
        <f>SUM(B139:P139)</f>
        <v>843262.4100000001</v>
      </c>
    </row>
    <row r="140" spans="1:19" s="79" customFormat="1" ht="18.75">
      <c r="A140" s="72" t="s">
        <v>74</v>
      </c>
      <c r="B140" s="74">
        <f aca="true" t="shared" si="20" ref="B140:P140">B15+B23+B30+B49+B57+B93+B100+B124+B130+B134+B138</f>
        <v>3327197.0200000005</v>
      </c>
      <c r="C140" s="74">
        <f t="shared" si="20"/>
        <v>780223.45</v>
      </c>
      <c r="D140" s="74">
        <f t="shared" si="20"/>
        <v>30900</v>
      </c>
      <c r="E140" s="74">
        <f t="shared" si="20"/>
        <v>0</v>
      </c>
      <c r="F140" s="74">
        <f t="shared" si="20"/>
        <v>1694417.5</v>
      </c>
      <c r="G140" s="74">
        <f t="shared" si="20"/>
        <v>53800</v>
      </c>
      <c r="H140" s="74">
        <f t="shared" si="20"/>
        <v>0</v>
      </c>
      <c r="I140" s="74">
        <f t="shared" si="20"/>
        <v>904143</v>
      </c>
      <c r="J140" s="74">
        <f t="shared" si="20"/>
        <v>509000</v>
      </c>
      <c r="K140" s="74">
        <f t="shared" si="20"/>
        <v>267572.24</v>
      </c>
      <c r="L140" s="74">
        <f t="shared" si="20"/>
        <v>90496</v>
      </c>
      <c r="M140" s="74">
        <f t="shared" si="20"/>
        <v>68960</v>
      </c>
      <c r="N140" s="74">
        <f t="shared" si="20"/>
        <v>49190</v>
      </c>
      <c r="O140" s="74">
        <f t="shared" si="20"/>
        <v>322003.77</v>
      </c>
      <c r="P140" s="74">
        <f t="shared" si="20"/>
        <v>1744552.38</v>
      </c>
      <c r="Q140" s="74">
        <f>SUM(B140:P140)</f>
        <v>9842455.36</v>
      </c>
      <c r="S140" s="215"/>
    </row>
    <row r="141" spans="1:17" s="79" customFormat="1" ht="17.25" customHeight="1">
      <c r="A141" s="78"/>
      <c r="B141" s="420"/>
      <c r="C141" s="514" t="s">
        <v>7</v>
      </c>
      <c r="D141" s="514"/>
      <c r="E141" s="514"/>
      <c r="F141" s="85"/>
      <c r="G141" s="85"/>
      <c r="H141" s="296"/>
      <c r="I141" s="514" t="s">
        <v>101</v>
      </c>
      <c r="J141" s="514"/>
      <c r="K141" s="514"/>
      <c r="L141" s="420"/>
      <c r="M141" s="420"/>
      <c r="N141" s="420"/>
      <c r="O141" s="420"/>
      <c r="P141" s="420"/>
      <c r="Q141" s="421"/>
    </row>
    <row r="142" spans="1:17" s="79" customFormat="1" ht="18.75">
      <c r="A142" s="78"/>
      <c r="B142" s="80"/>
      <c r="C142" s="85"/>
      <c r="D142" s="85"/>
      <c r="E142" s="85"/>
      <c r="F142" s="85"/>
      <c r="G142" s="85"/>
      <c r="H142" s="80"/>
      <c r="I142" s="85"/>
      <c r="J142" s="85"/>
      <c r="K142" s="85"/>
      <c r="L142" s="80"/>
      <c r="M142" s="80"/>
      <c r="N142" s="80"/>
      <c r="O142" s="80"/>
      <c r="P142" s="80"/>
      <c r="Q142" s="83"/>
    </row>
    <row r="143" spans="1:17" s="79" customFormat="1" ht="18.75">
      <c r="A143" s="78"/>
      <c r="B143" s="80"/>
      <c r="C143" s="514" t="s">
        <v>119</v>
      </c>
      <c r="D143" s="514"/>
      <c r="E143" s="514"/>
      <c r="F143" s="85"/>
      <c r="G143" s="85"/>
      <c r="H143" s="85"/>
      <c r="I143" s="514" t="s">
        <v>238</v>
      </c>
      <c r="J143" s="514"/>
      <c r="K143" s="514"/>
      <c r="L143" s="80"/>
      <c r="M143" s="80"/>
      <c r="N143" s="80"/>
      <c r="O143" s="80"/>
      <c r="P143" s="80"/>
      <c r="Q143" s="83"/>
    </row>
    <row r="144" spans="1:17" s="79" customFormat="1" ht="18.75">
      <c r="A144" s="78"/>
      <c r="B144" s="80"/>
      <c r="C144" s="514" t="s">
        <v>111</v>
      </c>
      <c r="D144" s="514"/>
      <c r="E144" s="514"/>
      <c r="F144" s="85"/>
      <c r="G144" s="85"/>
      <c r="H144" s="85"/>
      <c r="I144" s="514" t="s">
        <v>100</v>
      </c>
      <c r="J144" s="514"/>
      <c r="K144" s="514"/>
      <c r="L144" s="80"/>
      <c r="M144" s="80"/>
      <c r="N144" s="80"/>
      <c r="O144" s="80"/>
      <c r="P144" s="80"/>
      <c r="Q144" s="83"/>
    </row>
  </sheetData>
  <mergeCells count="46">
    <mergeCell ref="L114:M114"/>
    <mergeCell ref="L38:M38"/>
    <mergeCell ref="I144:K144"/>
    <mergeCell ref="C62:E62"/>
    <mergeCell ref="I104:K104"/>
    <mergeCell ref="I105:K105"/>
    <mergeCell ref="I141:K141"/>
    <mergeCell ref="I143:K143"/>
    <mergeCell ref="C144:E144"/>
    <mergeCell ref="C141:E141"/>
    <mergeCell ref="C143:E143"/>
    <mergeCell ref="A113:Q113"/>
    <mergeCell ref="I59:K59"/>
    <mergeCell ref="I62:K62"/>
    <mergeCell ref="I63:K63"/>
    <mergeCell ref="I101:K101"/>
    <mergeCell ref="I76:J76"/>
    <mergeCell ref="B114:C114"/>
    <mergeCell ref="D114:E114"/>
    <mergeCell ref="I114:J114"/>
    <mergeCell ref="C105:E105"/>
    <mergeCell ref="C59:E59"/>
    <mergeCell ref="C63:E63"/>
    <mergeCell ref="L76:M76"/>
    <mergeCell ref="C104:E104"/>
    <mergeCell ref="A75:Q75"/>
    <mergeCell ref="C64:E64"/>
    <mergeCell ref="C101:E101"/>
    <mergeCell ref="D76:E76"/>
    <mergeCell ref="B76:C76"/>
    <mergeCell ref="A1:Q1"/>
    <mergeCell ref="A2:Q2"/>
    <mergeCell ref="A3:Q3"/>
    <mergeCell ref="A37:Q37"/>
    <mergeCell ref="I4:J4"/>
    <mergeCell ref="C34:E34"/>
    <mergeCell ref="C35:E35"/>
    <mergeCell ref="I31:K31"/>
    <mergeCell ref="I34:K34"/>
    <mergeCell ref="I35:K35"/>
    <mergeCell ref="B4:C4"/>
    <mergeCell ref="D4:E4"/>
    <mergeCell ref="I38:J38"/>
    <mergeCell ref="D38:E38"/>
    <mergeCell ref="B38:C38"/>
    <mergeCell ref="C31:E31"/>
  </mergeCells>
  <printOptions/>
  <pageMargins left="0.5511811023622047" right="0.15748031496062992" top="0.1968503937007874" bottom="0" header="0.5118110236220472" footer="0.5118110236220472"/>
  <pageSetup horizontalDpi="180" verticalDpi="18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2"/>
  <sheetViews>
    <sheetView tabSelected="1" view="pageBreakPreview" zoomScaleSheetLayoutView="100" workbookViewId="0" topLeftCell="G118">
      <selection activeCell="N130" sqref="N130"/>
    </sheetView>
  </sheetViews>
  <sheetFormatPr defaultColWidth="9.140625" defaultRowHeight="21.75"/>
  <cols>
    <col min="1" max="1" width="21.421875" style="165" customWidth="1"/>
    <col min="2" max="3" width="11.140625" style="165" bestFit="1" customWidth="1"/>
    <col min="4" max="5" width="9.8515625" style="165" bestFit="1" customWidth="1"/>
    <col min="6" max="6" width="11.140625" style="165" bestFit="1" customWidth="1"/>
    <col min="7" max="7" width="9.8515625" style="165" bestFit="1" customWidth="1"/>
    <col min="8" max="9" width="11.140625" style="165" bestFit="1" customWidth="1"/>
    <col min="10" max="10" width="13.57421875" style="165" bestFit="1" customWidth="1"/>
    <col min="11" max="12" width="9.8515625" style="165" bestFit="1" customWidth="1"/>
    <col min="13" max="13" width="10.00390625" style="165" bestFit="1" customWidth="1"/>
    <col min="14" max="15" width="9.8515625" style="165" bestFit="1" customWidth="1"/>
    <col min="16" max="16" width="11.140625" style="165" bestFit="1" customWidth="1"/>
    <col min="17" max="17" width="12.00390625" style="165" bestFit="1" customWidth="1"/>
    <col min="18" max="16384" width="9.140625" style="165" customWidth="1"/>
  </cols>
  <sheetData>
    <row r="1" spans="1:17" ht="23.25">
      <c r="A1" s="525" t="s">
        <v>14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</row>
    <row r="2" spans="1:17" ht="23.25">
      <c r="A2" s="525" t="s">
        <v>103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</row>
    <row r="3" spans="1:17" ht="24" thickBot="1">
      <c r="A3" s="526" t="s">
        <v>299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7" s="171" customFormat="1" ht="21" customHeight="1">
      <c r="A4" s="166" t="s">
        <v>16</v>
      </c>
      <c r="B4" s="521" t="s">
        <v>82</v>
      </c>
      <c r="C4" s="522"/>
      <c r="D4" s="521" t="s">
        <v>85</v>
      </c>
      <c r="E4" s="522"/>
      <c r="F4" s="167" t="s">
        <v>91</v>
      </c>
      <c r="G4" s="167" t="s">
        <v>92</v>
      </c>
      <c r="H4" s="168" t="s">
        <v>95</v>
      </c>
      <c r="I4" s="521" t="s">
        <v>86</v>
      </c>
      <c r="J4" s="522"/>
      <c r="K4" s="169" t="s">
        <v>96</v>
      </c>
      <c r="L4" s="521" t="s">
        <v>87</v>
      </c>
      <c r="M4" s="523"/>
      <c r="N4" s="169" t="s">
        <v>99</v>
      </c>
      <c r="O4" s="169" t="s">
        <v>115</v>
      </c>
      <c r="P4" s="167" t="s">
        <v>80</v>
      </c>
      <c r="Q4" s="170" t="s">
        <v>17</v>
      </c>
    </row>
    <row r="5" spans="1:17" s="171" customFormat="1" ht="21" customHeight="1" thickBot="1">
      <c r="A5" s="172" t="s">
        <v>18</v>
      </c>
      <c r="B5" s="174" t="s">
        <v>83</v>
      </c>
      <c r="C5" s="175" t="s">
        <v>84</v>
      </c>
      <c r="D5" s="173" t="s">
        <v>76</v>
      </c>
      <c r="E5" s="173" t="s">
        <v>77</v>
      </c>
      <c r="F5" s="174" t="s">
        <v>90</v>
      </c>
      <c r="G5" s="174" t="s">
        <v>93</v>
      </c>
      <c r="H5" s="177" t="s">
        <v>94</v>
      </c>
      <c r="I5" s="173" t="s">
        <v>78</v>
      </c>
      <c r="J5" s="173" t="s">
        <v>79</v>
      </c>
      <c r="K5" s="178" t="s">
        <v>97</v>
      </c>
      <c r="L5" s="175" t="s">
        <v>88</v>
      </c>
      <c r="M5" s="176" t="s">
        <v>89</v>
      </c>
      <c r="N5" s="178" t="s">
        <v>98</v>
      </c>
      <c r="O5" s="178" t="s">
        <v>116</v>
      </c>
      <c r="P5" s="173" t="s">
        <v>81</v>
      </c>
      <c r="Q5" s="179"/>
    </row>
    <row r="6" spans="1:17" s="185" customFormat="1" ht="21" customHeight="1">
      <c r="A6" s="180" t="s">
        <v>232</v>
      </c>
      <c r="B6" s="181"/>
      <c r="C6" s="182"/>
      <c r="D6" s="181"/>
      <c r="E6" s="181"/>
      <c r="F6" s="182"/>
      <c r="G6" s="182"/>
      <c r="H6" s="183"/>
      <c r="I6" s="181"/>
      <c r="J6" s="181"/>
      <c r="K6" s="184"/>
      <c r="L6" s="181"/>
      <c r="M6" s="183"/>
      <c r="N6" s="184"/>
      <c r="O6" s="184"/>
      <c r="P6" s="181"/>
      <c r="Q6" s="184"/>
    </row>
    <row r="7" spans="1:17" s="185" customFormat="1" ht="21" customHeight="1">
      <c r="A7" s="186" t="s">
        <v>153</v>
      </c>
      <c r="B7" s="188">
        <v>0</v>
      </c>
      <c r="C7" s="189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7">
        <f>165660-20013-12678-12678-12678-12678-12678-12678</f>
        <v>69579</v>
      </c>
      <c r="Q7" s="188">
        <f aca="true" t="shared" si="0" ref="Q7:Q14">SUM(B7:P7)</f>
        <v>69579</v>
      </c>
    </row>
    <row r="8" spans="1:17" s="185" customFormat="1" ht="21" customHeight="1">
      <c r="A8" s="186" t="s">
        <v>226</v>
      </c>
      <c r="B8" s="188">
        <v>0</v>
      </c>
      <c r="C8" s="189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7">
        <f>744000-228000-58500-57500-57000-55500-55500-57000</f>
        <v>175000</v>
      </c>
      <c r="Q8" s="188">
        <f t="shared" si="0"/>
        <v>175000</v>
      </c>
    </row>
    <row r="9" spans="1:17" s="185" customFormat="1" ht="21" customHeight="1">
      <c r="A9" s="186" t="s">
        <v>227</v>
      </c>
      <c r="B9" s="188">
        <v>0</v>
      </c>
      <c r="C9" s="189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7">
        <f>162000-54000-13500-13500-13500-13500-13500-13500</f>
        <v>27000</v>
      </c>
      <c r="Q9" s="188">
        <f t="shared" si="0"/>
        <v>27000</v>
      </c>
    </row>
    <row r="10" spans="1:17" s="185" customFormat="1" ht="21" customHeight="1">
      <c r="A10" s="186" t="s">
        <v>228</v>
      </c>
      <c r="B10" s="188">
        <v>0</v>
      </c>
      <c r="C10" s="189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7">
        <f>676217-91588.79-5110-89719.63-78971.96-80000</f>
        <v>330826.61999999994</v>
      </c>
      <c r="Q10" s="188">
        <f t="shared" si="0"/>
        <v>330826.61999999994</v>
      </c>
    </row>
    <row r="11" spans="1:17" s="185" customFormat="1" ht="21" customHeight="1">
      <c r="A11" s="186" t="s">
        <v>229</v>
      </c>
      <c r="B11" s="188">
        <v>0</v>
      </c>
      <c r="C11" s="189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7">
        <f>85000+60000-60000</f>
        <v>85000</v>
      </c>
      <c r="Q11" s="188">
        <f t="shared" si="0"/>
        <v>85000</v>
      </c>
    </row>
    <row r="12" spans="1:17" s="185" customFormat="1" ht="21" customHeight="1">
      <c r="A12" s="186" t="s">
        <v>230</v>
      </c>
      <c r="B12" s="188">
        <v>0</v>
      </c>
      <c r="C12" s="189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7">
        <f>666000-216000-53500-53500-52500-51500-52000-52000</f>
        <v>135000</v>
      </c>
      <c r="Q12" s="188">
        <f t="shared" si="0"/>
        <v>135000</v>
      </c>
    </row>
    <row r="13" spans="1:17" s="185" customFormat="1" ht="21" customHeight="1">
      <c r="A13" s="186" t="s">
        <v>231</v>
      </c>
      <c r="B13" s="188">
        <v>0</v>
      </c>
      <c r="C13" s="189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7">
        <f>88081-88081</f>
        <v>0</v>
      </c>
      <c r="Q13" s="188">
        <f t="shared" si="0"/>
        <v>0</v>
      </c>
    </row>
    <row r="14" spans="1:17" s="192" customFormat="1" ht="21" customHeight="1">
      <c r="A14" s="190" t="s">
        <v>19</v>
      </c>
      <c r="B14" s="191">
        <f aca="true" t="shared" si="1" ref="B14:P14">SUM(B7:B13)</f>
        <v>0</v>
      </c>
      <c r="C14" s="191">
        <f t="shared" si="1"/>
        <v>0</v>
      </c>
      <c r="D14" s="191">
        <f t="shared" si="1"/>
        <v>0</v>
      </c>
      <c r="E14" s="191">
        <f t="shared" si="1"/>
        <v>0</v>
      </c>
      <c r="F14" s="191">
        <f t="shared" si="1"/>
        <v>0</v>
      </c>
      <c r="G14" s="191">
        <f t="shared" si="1"/>
        <v>0</v>
      </c>
      <c r="H14" s="191">
        <f t="shared" si="1"/>
        <v>0</v>
      </c>
      <c r="I14" s="191">
        <f t="shared" si="1"/>
        <v>0</v>
      </c>
      <c r="J14" s="191">
        <f t="shared" si="1"/>
        <v>0</v>
      </c>
      <c r="K14" s="191">
        <f t="shared" si="1"/>
        <v>0</v>
      </c>
      <c r="L14" s="191">
        <f t="shared" si="1"/>
        <v>0</v>
      </c>
      <c r="M14" s="191">
        <f t="shared" si="1"/>
        <v>0</v>
      </c>
      <c r="N14" s="191">
        <f t="shared" si="1"/>
        <v>0</v>
      </c>
      <c r="O14" s="191">
        <f t="shared" si="1"/>
        <v>0</v>
      </c>
      <c r="P14" s="191">
        <f t="shared" si="1"/>
        <v>822405.6199999999</v>
      </c>
      <c r="Q14" s="188">
        <f t="shared" si="0"/>
        <v>822405.6199999999</v>
      </c>
    </row>
    <row r="15" spans="1:17" s="185" customFormat="1" ht="21" customHeight="1">
      <c r="A15" s="193">
        <v>521000</v>
      </c>
      <c r="B15" s="194"/>
      <c r="C15" s="195"/>
      <c r="D15" s="194"/>
      <c r="E15" s="194"/>
      <c r="F15" s="195"/>
      <c r="G15" s="195"/>
      <c r="H15" s="194"/>
      <c r="I15" s="194"/>
      <c r="J15" s="194"/>
      <c r="K15" s="188"/>
      <c r="L15" s="194"/>
      <c r="M15" s="194"/>
      <c r="N15" s="188"/>
      <c r="O15" s="188"/>
      <c r="P15" s="191"/>
      <c r="Q15" s="188"/>
    </row>
    <row r="16" spans="1:17" s="185" customFormat="1" ht="21" customHeight="1">
      <c r="A16" s="196">
        <v>210100</v>
      </c>
      <c r="B16" s="187">
        <f>206400-17200-17200-17200-17200-17200-17200-17200-17200-17200-17200</f>
        <v>34400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7">
        <v>0</v>
      </c>
      <c r="Q16" s="188">
        <f aca="true" t="shared" si="2" ref="Q16:Q21">SUM(B16:P16)</f>
        <v>34400</v>
      </c>
    </row>
    <row r="17" spans="1:17" s="185" customFormat="1" ht="21" customHeight="1">
      <c r="A17" s="196">
        <v>210200</v>
      </c>
      <c r="B17" s="187">
        <f>38400-3200-3200-3200-3200-3200-3200-3200-3200-3200-3200</f>
        <v>6400</v>
      </c>
      <c r="C17" s="187">
        <v>0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187">
        <v>0</v>
      </c>
      <c r="Q17" s="188">
        <f t="shared" si="2"/>
        <v>6400</v>
      </c>
    </row>
    <row r="18" spans="1:17" s="185" customFormat="1" ht="21" customHeight="1">
      <c r="A18" s="196">
        <v>210300</v>
      </c>
      <c r="B18" s="187">
        <f>38400-3200-3200-3200-3200-3200-3200-3200-3200-3200-3200</f>
        <v>6400</v>
      </c>
      <c r="C18" s="187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0</v>
      </c>
      <c r="P18" s="187">
        <v>0</v>
      </c>
      <c r="Q18" s="188">
        <f t="shared" si="2"/>
        <v>6400</v>
      </c>
    </row>
    <row r="19" spans="1:17" s="185" customFormat="1" ht="21" customHeight="1">
      <c r="A19" s="196">
        <v>210400</v>
      </c>
      <c r="B19" s="187">
        <f>68400-4440-15000-30000</f>
        <v>18960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8">
        <f t="shared" si="2"/>
        <v>18960</v>
      </c>
    </row>
    <row r="20" spans="1:17" s="185" customFormat="1" ht="21" customHeight="1">
      <c r="A20" s="196">
        <v>210600</v>
      </c>
      <c r="B20" s="187">
        <f>1063800-88650-88650-88650-83750-83750-83750-83750-83750-83750-79640.32</f>
        <v>215709.68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7">
        <v>0</v>
      </c>
      <c r="P20" s="187">
        <v>0</v>
      </c>
      <c r="Q20" s="188">
        <f t="shared" si="2"/>
        <v>215709.68</v>
      </c>
    </row>
    <row r="21" spans="1:17" s="185" customFormat="1" ht="21" customHeight="1">
      <c r="A21" s="190" t="s">
        <v>19</v>
      </c>
      <c r="B21" s="191">
        <f aca="true" t="shared" si="3" ref="B21:P21">SUM(B16:B20)</f>
        <v>281869.68</v>
      </c>
      <c r="C21" s="191">
        <f t="shared" si="3"/>
        <v>0</v>
      </c>
      <c r="D21" s="191">
        <f t="shared" si="3"/>
        <v>0</v>
      </c>
      <c r="E21" s="191">
        <f t="shared" si="3"/>
        <v>0</v>
      </c>
      <c r="F21" s="191">
        <f t="shared" si="3"/>
        <v>0</v>
      </c>
      <c r="G21" s="191">
        <f t="shared" si="3"/>
        <v>0</v>
      </c>
      <c r="H21" s="191">
        <f t="shared" si="3"/>
        <v>0</v>
      </c>
      <c r="I21" s="191">
        <f t="shared" si="3"/>
        <v>0</v>
      </c>
      <c r="J21" s="191">
        <f t="shared" si="3"/>
        <v>0</v>
      </c>
      <c r="K21" s="191">
        <f t="shared" si="3"/>
        <v>0</v>
      </c>
      <c r="L21" s="191">
        <f t="shared" si="3"/>
        <v>0</v>
      </c>
      <c r="M21" s="191">
        <f t="shared" si="3"/>
        <v>0</v>
      </c>
      <c r="N21" s="191">
        <f t="shared" si="3"/>
        <v>0</v>
      </c>
      <c r="O21" s="191">
        <f t="shared" si="3"/>
        <v>0</v>
      </c>
      <c r="P21" s="191">
        <f t="shared" si="3"/>
        <v>0</v>
      </c>
      <c r="Q21" s="188">
        <f t="shared" si="2"/>
        <v>281869.68</v>
      </c>
    </row>
    <row r="22" spans="1:17" s="185" customFormat="1" ht="21" customHeight="1">
      <c r="A22" s="193">
        <v>522000</v>
      </c>
      <c r="B22" s="194"/>
      <c r="C22" s="195"/>
      <c r="D22" s="194"/>
      <c r="E22" s="194"/>
      <c r="F22" s="195"/>
      <c r="G22" s="195"/>
      <c r="H22" s="194"/>
      <c r="I22" s="194"/>
      <c r="J22" s="194"/>
      <c r="K22" s="188"/>
      <c r="L22" s="194"/>
      <c r="M22" s="194"/>
      <c r="N22" s="188"/>
      <c r="O22" s="188"/>
      <c r="P22" s="191"/>
      <c r="Q22" s="188"/>
    </row>
    <row r="23" spans="1:17" s="185" customFormat="1" ht="21" customHeight="1">
      <c r="A23" s="196">
        <v>220100</v>
      </c>
      <c r="B23" s="187">
        <f>1208160-85810-30000-76646-76330-76330-25700-25000-76330-2000-76330-29000-78240-78240-78240-72760</f>
        <v>321204</v>
      </c>
      <c r="C23" s="187">
        <f>508680-34180-6000-34180-34180-34180-34180-34180-35130-35130-35386.45-35280</f>
        <v>156673.55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f>389400-32350-32350-32350-32350-32350-32350-33140-33140-33140-33140+3540</f>
        <v>66280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0</v>
      </c>
      <c r="Q23" s="188">
        <f>SUM(B23:P23)</f>
        <v>544157.55</v>
      </c>
    </row>
    <row r="24" spans="1:17" s="185" customFormat="1" ht="21" customHeight="1">
      <c r="A24" s="196">
        <v>220200</v>
      </c>
      <c r="B24" s="187">
        <f>90420-7570-6120-6070-6070-6070-6070-5780-5780-5780-4280</f>
        <v>30830</v>
      </c>
      <c r="C24" s="187">
        <f>54000-3000-3000-3000-3000-3000-3000-3000-3000-3000-3000</f>
        <v>24000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f>36000-3000-3000-3000-3000-3000-3000-3000-3000-3000-3000</f>
        <v>6000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8">
        <f>SUM(B24:P24)</f>
        <v>60830</v>
      </c>
    </row>
    <row r="25" spans="1:17" s="185" customFormat="1" ht="21" customHeight="1">
      <c r="A25" s="196">
        <v>220300</v>
      </c>
      <c r="B25" s="187">
        <f>42000-3500-3500-3500-3500-3500-3500-3500-3500-3500-3500</f>
        <v>7000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8">
        <f>SUM(B25:P25)</f>
        <v>7000</v>
      </c>
    </row>
    <row r="26" spans="1:17" s="185" customFormat="1" ht="21" customHeight="1">
      <c r="A26" s="196">
        <v>220600</v>
      </c>
      <c r="B26" s="187">
        <f>393720-26230-1080-26230-32810-32810-32810-32810-32810-32810-32810-32810</f>
        <v>77700</v>
      </c>
      <c r="C26" s="187">
        <f>233280-19740+3600-19740-19740-19740-19740-19740-19740-19740-19740-19740</f>
        <v>39480</v>
      </c>
      <c r="D26" s="187">
        <v>0</v>
      </c>
      <c r="E26" s="187">
        <v>0</v>
      </c>
      <c r="F26" s="187">
        <f>196800-16420+240+5280-16420-17740-16420-16860-17300-16860-16860-16860-16860</f>
        <v>33720</v>
      </c>
      <c r="G26" s="187">
        <v>0</v>
      </c>
      <c r="H26" s="187">
        <v>0</v>
      </c>
      <c r="I26" s="187">
        <f>335280-8200-8200-27940-27940-27940-27940-27940-27940-27940-27940</f>
        <v>95360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8">
        <f>SUM(B26:P26)</f>
        <v>246260</v>
      </c>
    </row>
    <row r="27" spans="1:17" s="185" customFormat="1" ht="21" customHeight="1">
      <c r="A27" s="190" t="s">
        <v>19</v>
      </c>
      <c r="B27" s="191">
        <f aca="true" t="shared" si="4" ref="B27:P27">SUM(B23:B26)</f>
        <v>436734</v>
      </c>
      <c r="C27" s="191">
        <f t="shared" si="4"/>
        <v>220153.55</v>
      </c>
      <c r="D27" s="191">
        <f t="shared" si="4"/>
        <v>0</v>
      </c>
      <c r="E27" s="191">
        <f t="shared" si="4"/>
        <v>0</v>
      </c>
      <c r="F27" s="191">
        <f t="shared" si="4"/>
        <v>33720</v>
      </c>
      <c r="G27" s="191">
        <f t="shared" si="4"/>
        <v>0</v>
      </c>
      <c r="H27" s="191">
        <f t="shared" si="4"/>
        <v>0</v>
      </c>
      <c r="I27" s="191">
        <f t="shared" si="4"/>
        <v>167640</v>
      </c>
      <c r="J27" s="191">
        <f t="shared" si="4"/>
        <v>0</v>
      </c>
      <c r="K27" s="191">
        <f t="shared" si="4"/>
        <v>0</v>
      </c>
      <c r="L27" s="191">
        <f t="shared" si="4"/>
        <v>0</v>
      </c>
      <c r="M27" s="191">
        <f t="shared" si="4"/>
        <v>0</v>
      </c>
      <c r="N27" s="191">
        <f t="shared" si="4"/>
        <v>0</v>
      </c>
      <c r="O27" s="191">
        <f t="shared" si="4"/>
        <v>0</v>
      </c>
      <c r="P27" s="191">
        <f t="shared" si="4"/>
        <v>0</v>
      </c>
      <c r="Q27" s="188">
        <f>SUM(B27:P27)</f>
        <v>858247.55</v>
      </c>
    </row>
    <row r="28" spans="1:17" s="185" customFormat="1" ht="21">
      <c r="A28" s="20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3"/>
    </row>
    <row r="29" spans="1:17" s="185" customFormat="1" ht="21" customHeight="1">
      <c r="A29" s="204"/>
      <c r="B29" s="202"/>
      <c r="C29" s="519" t="s">
        <v>7</v>
      </c>
      <c r="D29" s="519"/>
      <c r="E29" s="519"/>
      <c r="F29" s="205"/>
      <c r="G29" s="205"/>
      <c r="H29" s="202"/>
      <c r="I29" s="202"/>
      <c r="J29" s="514" t="s">
        <v>101</v>
      </c>
      <c r="K29" s="514"/>
      <c r="L29" s="514"/>
      <c r="M29" s="202"/>
      <c r="N29" s="202"/>
      <c r="O29" s="202"/>
      <c r="P29" s="202"/>
      <c r="Q29" s="203"/>
    </row>
    <row r="30" spans="1:17" s="185" customFormat="1" ht="21" customHeight="1">
      <c r="A30" s="204"/>
      <c r="B30" s="202"/>
      <c r="C30" s="205"/>
      <c r="D30" s="205"/>
      <c r="E30" s="205"/>
      <c r="F30" s="205"/>
      <c r="G30" s="205"/>
      <c r="H30" s="202"/>
      <c r="I30" s="202"/>
      <c r="J30" s="85"/>
      <c r="K30" s="85"/>
      <c r="L30" s="85"/>
      <c r="M30" s="202"/>
      <c r="N30" s="202"/>
      <c r="O30" s="202"/>
      <c r="P30" s="202"/>
      <c r="Q30" s="203"/>
    </row>
    <row r="31" spans="1:17" s="185" customFormat="1" ht="21" customHeight="1">
      <c r="A31" s="204"/>
      <c r="B31" s="202"/>
      <c r="C31" s="519" t="s">
        <v>119</v>
      </c>
      <c r="D31" s="519"/>
      <c r="E31" s="519"/>
      <c r="F31" s="205"/>
      <c r="G31" s="205"/>
      <c r="H31" s="202"/>
      <c r="I31" s="202"/>
      <c r="J31" s="514" t="s">
        <v>238</v>
      </c>
      <c r="K31" s="514"/>
      <c r="L31" s="514"/>
      <c r="M31" s="202"/>
      <c r="N31" s="202"/>
      <c r="O31" s="202"/>
      <c r="P31" s="202"/>
      <c r="Q31" s="203"/>
    </row>
    <row r="32" spans="1:17" s="185" customFormat="1" ht="21" customHeight="1">
      <c r="A32" s="204"/>
      <c r="B32" s="202"/>
      <c r="C32" s="519" t="s">
        <v>111</v>
      </c>
      <c r="D32" s="519"/>
      <c r="E32" s="519"/>
      <c r="F32" s="205"/>
      <c r="G32" s="205"/>
      <c r="H32" s="202"/>
      <c r="I32" s="202"/>
      <c r="J32" s="514" t="s">
        <v>100</v>
      </c>
      <c r="K32" s="514"/>
      <c r="L32" s="514"/>
      <c r="M32" s="202"/>
      <c r="N32" s="202"/>
      <c r="O32" s="202"/>
      <c r="P32" s="202"/>
      <c r="Q32" s="203"/>
    </row>
    <row r="33" spans="1:17" s="185" customFormat="1" ht="21" customHeight="1">
      <c r="A33" s="204"/>
      <c r="B33" s="202"/>
      <c r="C33" s="205"/>
      <c r="D33" s="205"/>
      <c r="E33" s="205"/>
      <c r="F33" s="205"/>
      <c r="G33" s="205"/>
      <c r="H33" s="202"/>
      <c r="I33" s="202"/>
      <c r="J33" s="85"/>
      <c r="K33" s="85"/>
      <c r="L33" s="85"/>
      <c r="M33" s="202"/>
      <c r="N33" s="202"/>
      <c r="O33" s="202"/>
      <c r="P33" s="202"/>
      <c r="Q33" s="203"/>
    </row>
    <row r="34" spans="1:17" s="185" customFormat="1" ht="21" customHeight="1">
      <c r="A34" s="204"/>
      <c r="B34" s="202"/>
      <c r="C34" s="205"/>
      <c r="D34" s="205"/>
      <c r="E34" s="205"/>
      <c r="F34" s="205"/>
      <c r="G34" s="205"/>
      <c r="H34" s="202"/>
      <c r="I34" s="202"/>
      <c r="J34" s="85"/>
      <c r="K34" s="85"/>
      <c r="L34" s="85"/>
      <c r="M34" s="202"/>
      <c r="N34" s="202"/>
      <c r="O34" s="202"/>
      <c r="P34" s="202"/>
      <c r="Q34" s="203"/>
    </row>
    <row r="35" spans="1:17" s="185" customFormat="1" ht="19.5" thickBot="1">
      <c r="A35" s="524" t="s">
        <v>21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</row>
    <row r="36" spans="1:17" s="171" customFormat="1" ht="21" customHeight="1">
      <c r="A36" s="166" t="s">
        <v>16</v>
      </c>
      <c r="B36" s="521" t="s">
        <v>82</v>
      </c>
      <c r="C36" s="522"/>
      <c r="D36" s="521" t="s">
        <v>85</v>
      </c>
      <c r="E36" s="522"/>
      <c r="F36" s="167" t="s">
        <v>91</v>
      </c>
      <c r="G36" s="167" t="s">
        <v>92</v>
      </c>
      <c r="H36" s="168" t="s">
        <v>95</v>
      </c>
      <c r="I36" s="521" t="s">
        <v>86</v>
      </c>
      <c r="J36" s="522"/>
      <c r="K36" s="169" t="s">
        <v>96</v>
      </c>
      <c r="L36" s="521" t="s">
        <v>87</v>
      </c>
      <c r="M36" s="523"/>
      <c r="N36" s="169" t="s">
        <v>99</v>
      </c>
      <c r="O36" s="169" t="s">
        <v>115</v>
      </c>
      <c r="P36" s="167" t="s">
        <v>80</v>
      </c>
      <c r="Q36" s="170" t="s">
        <v>17</v>
      </c>
    </row>
    <row r="37" spans="1:17" s="171" customFormat="1" ht="21" customHeight="1" thickBot="1">
      <c r="A37" s="172" t="s">
        <v>18</v>
      </c>
      <c r="B37" s="174" t="s">
        <v>83</v>
      </c>
      <c r="C37" s="175" t="s">
        <v>84</v>
      </c>
      <c r="D37" s="173" t="s">
        <v>76</v>
      </c>
      <c r="E37" s="173" t="s">
        <v>77</v>
      </c>
      <c r="F37" s="174" t="s">
        <v>90</v>
      </c>
      <c r="G37" s="174" t="s">
        <v>93</v>
      </c>
      <c r="H37" s="177" t="s">
        <v>94</v>
      </c>
      <c r="I37" s="173" t="s">
        <v>78</v>
      </c>
      <c r="J37" s="173" t="s">
        <v>79</v>
      </c>
      <c r="K37" s="178" t="s">
        <v>97</v>
      </c>
      <c r="L37" s="175" t="s">
        <v>88</v>
      </c>
      <c r="M37" s="176" t="s">
        <v>89</v>
      </c>
      <c r="N37" s="178" t="s">
        <v>98</v>
      </c>
      <c r="O37" s="178" t="s">
        <v>116</v>
      </c>
      <c r="P37" s="173" t="s">
        <v>81</v>
      </c>
      <c r="Q37" s="179"/>
    </row>
    <row r="38" spans="1:17" s="185" customFormat="1" ht="21" customHeight="1">
      <c r="A38" s="198">
        <v>531000</v>
      </c>
      <c r="B38" s="199"/>
      <c r="C38" s="200"/>
      <c r="D38" s="181"/>
      <c r="E38" s="181"/>
      <c r="F38" s="182"/>
      <c r="G38" s="182"/>
      <c r="H38" s="181"/>
      <c r="I38" s="181"/>
      <c r="J38" s="199"/>
      <c r="K38" s="188"/>
      <c r="L38" s="181"/>
      <c r="M38" s="181"/>
      <c r="N38" s="188"/>
      <c r="O38" s="188"/>
      <c r="P38" s="199"/>
      <c r="Q38" s="188"/>
    </row>
    <row r="39" spans="1:17" s="185" customFormat="1" ht="21" customHeight="1">
      <c r="A39" s="196">
        <v>310100</v>
      </c>
      <c r="B39" s="187">
        <f>10000-4200</f>
        <v>5800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30000</v>
      </c>
      <c r="J39" s="187">
        <v>0</v>
      </c>
      <c r="K39" s="187">
        <v>0</v>
      </c>
      <c r="L39" s="187">
        <v>0</v>
      </c>
      <c r="M39" s="187">
        <v>0</v>
      </c>
      <c r="N39" s="187">
        <v>0</v>
      </c>
      <c r="O39" s="187">
        <v>0</v>
      </c>
      <c r="P39" s="187">
        <v>0</v>
      </c>
      <c r="Q39" s="188">
        <f aca="true" t="shared" si="5" ref="Q39:Q46">SUM(B39:P39)</f>
        <v>35800</v>
      </c>
    </row>
    <row r="40" spans="1:17" s="185" customFormat="1" ht="21" customHeight="1">
      <c r="A40" s="196">
        <v>310200</v>
      </c>
      <c r="B40" s="187">
        <f>38400-12000</f>
        <v>26400</v>
      </c>
      <c r="C40" s="187">
        <v>0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0</v>
      </c>
      <c r="N40" s="187">
        <v>0</v>
      </c>
      <c r="O40" s="187">
        <v>0</v>
      </c>
      <c r="P40" s="187">
        <v>0</v>
      </c>
      <c r="Q40" s="188">
        <f t="shared" si="5"/>
        <v>26400</v>
      </c>
    </row>
    <row r="41" spans="1:17" s="185" customFormat="1" ht="21" customHeight="1">
      <c r="A41" s="196">
        <v>310300</v>
      </c>
      <c r="B41" s="187">
        <f>100800-16800-18480-17500-20000-3600-6300</f>
        <v>18120</v>
      </c>
      <c r="C41" s="187">
        <f>42000-3600-10500-4200-13000</f>
        <v>10700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f>50400-9660-6300-5040-5040-15120</f>
        <v>9240</v>
      </c>
      <c r="J41" s="187">
        <v>0</v>
      </c>
      <c r="K41" s="187">
        <v>0</v>
      </c>
      <c r="L41" s="187">
        <v>0</v>
      </c>
      <c r="M41" s="187">
        <v>0</v>
      </c>
      <c r="N41" s="187">
        <v>0</v>
      </c>
      <c r="O41" s="187">
        <v>0</v>
      </c>
      <c r="P41" s="187">
        <v>0</v>
      </c>
      <c r="Q41" s="188">
        <f t="shared" si="5"/>
        <v>38060</v>
      </c>
    </row>
    <row r="42" spans="1:17" s="185" customFormat="1" ht="21" customHeight="1">
      <c r="A42" s="196">
        <v>310400</v>
      </c>
      <c r="B42" s="187">
        <f>60000-3000-3000-3000-3000-4600-4600-4600-4600-4600</f>
        <v>25000</v>
      </c>
      <c r="C42" s="187">
        <f>37200-2750-2750-2750-4250-3200-3200-3200-3200-3200</f>
        <v>8700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0</v>
      </c>
      <c r="N42" s="187">
        <v>0</v>
      </c>
      <c r="O42" s="187">
        <v>0</v>
      </c>
      <c r="P42" s="187">
        <v>0</v>
      </c>
      <c r="Q42" s="188">
        <f t="shared" si="5"/>
        <v>33700</v>
      </c>
    </row>
    <row r="43" spans="1:17" s="185" customFormat="1" ht="21" customHeight="1">
      <c r="A43" s="196">
        <v>310500</v>
      </c>
      <c r="B43" s="187">
        <f>15000-1937</f>
        <v>13063</v>
      </c>
      <c r="C43" s="187">
        <f>6000-1937-1937-1937</f>
        <v>189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f>10000-1937-1700</f>
        <v>6363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187">
        <v>0</v>
      </c>
      <c r="P43" s="187">
        <v>0</v>
      </c>
      <c r="Q43" s="188">
        <f t="shared" si="5"/>
        <v>19615</v>
      </c>
    </row>
    <row r="44" spans="1:17" s="185" customFormat="1" ht="21" customHeight="1">
      <c r="A44" s="196">
        <v>310600</v>
      </c>
      <c r="B44" s="187">
        <f>25000-2175-4125-5560-4281-807-730-520</f>
        <v>6802</v>
      </c>
      <c r="C44" s="187">
        <f>30000-2810-1500-1451-121</f>
        <v>24118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f>200000-45830-28000-33001-29585-1307-28624-33055</f>
        <v>598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87">
        <v>0</v>
      </c>
      <c r="P44" s="187">
        <v>0</v>
      </c>
      <c r="Q44" s="188">
        <f t="shared" si="5"/>
        <v>31518</v>
      </c>
    </row>
    <row r="45" spans="1:17" s="185" customFormat="1" ht="21" customHeight="1">
      <c r="A45" s="196">
        <v>310800</v>
      </c>
      <c r="B45" s="187">
        <v>281730</v>
      </c>
      <c r="C45" s="187">
        <v>152430</v>
      </c>
      <c r="D45" s="187">
        <v>0</v>
      </c>
      <c r="E45" s="187">
        <v>0</v>
      </c>
      <c r="F45" s="187">
        <v>0</v>
      </c>
      <c r="G45" s="187">
        <v>0</v>
      </c>
      <c r="H45" s="187">
        <v>0</v>
      </c>
      <c r="I45" s="187">
        <v>97860</v>
      </c>
      <c r="J45" s="187">
        <v>0</v>
      </c>
      <c r="K45" s="187">
        <v>0</v>
      </c>
      <c r="L45" s="187">
        <v>0</v>
      </c>
      <c r="M45" s="187">
        <v>0</v>
      </c>
      <c r="N45" s="187">
        <v>0</v>
      </c>
      <c r="O45" s="187">
        <v>0</v>
      </c>
      <c r="P45" s="187">
        <v>0</v>
      </c>
      <c r="Q45" s="188">
        <f t="shared" si="5"/>
        <v>532020</v>
      </c>
    </row>
    <row r="46" spans="1:17" s="185" customFormat="1" ht="21" customHeight="1">
      <c r="A46" s="190" t="s">
        <v>19</v>
      </c>
      <c r="B46" s="191">
        <f aca="true" t="shared" si="6" ref="B46:P46">SUM(B39:B45)</f>
        <v>376915</v>
      </c>
      <c r="C46" s="191">
        <f t="shared" si="6"/>
        <v>196137</v>
      </c>
      <c r="D46" s="191">
        <f t="shared" si="6"/>
        <v>0</v>
      </c>
      <c r="E46" s="191">
        <f t="shared" si="6"/>
        <v>0</v>
      </c>
      <c r="F46" s="191">
        <f t="shared" si="6"/>
        <v>0</v>
      </c>
      <c r="G46" s="191">
        <f t="shared" si="6"/>
        <v>0</v>
      </c>
      <c r="H46" s="191">
        <f t="shared" si="6"/>
        <v>0</v>
      </c>
      <c r="I46" s="191">
        <f t="shared" si="6"/>
        <v>144061</v>
      </c>
      <c r="J46" s="191">
        <f t="shared" si="6"/>
        <v>0</v>
      </c>
      <c r="K46" s="191">
        <f t="shared" si="6"/>
        <v>0</v>
      </c>
      <c r="L46" s="191">
        <f t="shared" si="6"/>
        <v>0</v>
      </c>
      <c r="M46" s="191">
        <f t="shared" si="6"/>
        <v>0</v>
      </c>
      <c r="N46" s="191">
        <f t="shared" si="6"/>
        <v>0</v>
      </c>
      <c r="O46" s="191">
        <f t="shared" si="6"/>
        <v>0</v>
      </c>
      <c r="P46" s="191">
        <f t="shared" si="6"/>
        <v>0</v>
      </c>
      <c r="Q46" s="188">
        <f t="shared" si="5"/>
        <v>717113</v>
      </c>
    </row>
    <row r="47" spans="1:17" s="185" customFormat="1" ht="21" customHeight="1">
      <c r="A47" s="193">
        <v>532000</v>
      </c>
      <c r="B47" s="191"/>
      <c r="C47" s="197"/>
      <c r="D47" s="194"/>
      <c r="E47" s="194"/>
      <c r="F47" s="195"/>
      <c r="G47" s="195"/>
      <c r="H47" s="191"/>
      <c r="I47" s="194"/>
      <c r="J47" s="191"/>
      <c r="K47" s="188"/>
      <c r="L47" s="194"/>
      <c r="M47" s="194"/>
      <c r="N47" s="188"/>
      <c r="O47" s="188"/>
      <c r="P47" s="191"/>
      <c r="Q47" s="188"/>
    </row>
    <row r="48" spans="1:17" s="185" customFormat="1" ht="21" customHeight="1">
      <c r="A48" s="196">
        <v>320100</v>
      </c>
      <c r="B48" s="187">
        <f>150000+30000+36500+50000+5000+150000+15840+54000+60000-9860+8400-23633-54148-12300-50000-30900-53600-34800-25500-37360-32400</f>
        <v>195239</v>
      </c>
      <c r="C48" s="187">
        <f>30000-500-3600-15400-17900+13000</f>
        <v>5600</v>
      </c>
      <c r="D48" s="187">
        <v>0</v>
      </c>
      <c r="E48" s="187">
        <v>0</v>
      </c>
      <c r="F48" s="187">
        <f>420-420</f>
        <v>0</v>
      </c>
      <c r="G48" s="187">
        <f>25000+60000+8400-5700-11400-5700-5700-5700-5700-5700-5700</f>
        <v>42100</v>
      </c>
      <c r="H48" s="187">
        <v>0</v>
      </c>
      <c r="I48" s="187">
        <f>30000+60000-5000-5000-5000-15500-6800-3500-6000-3540-15000</f>
        <v>24660</v>
      </c>
      <c r="J48" s="187">
        <v>0</v>
      </c>
      <c r="K48" s="187">
        <f>17500+42000+19500-8000+2600-41682.24-15720</f>
        <v>16197.760000000002</v>
      </c>
      <c r="L48" s="187">
        <v>0</v>
      </c>
      <c r="M48" s="187">
        <v>0</v>
      </c>
      <c r="N48" s="187">
        <v>0</v>
      </c>
      <c r="O48" s="187">
        <v>0</v>
      </c>
      <c r="P48" s="187">
        <v>0</v>
      </c>
      <c r="Q48" s="188">
        <f aca="true" t="shared" si="7" ref="Q48:Q53">SUM(B48:P48)</f>
        <v>283796.76</v>
      </c>
    </row>
    <row r="49" spans="1:17" s="185" customFormat="1" ht="21" customHeight="1">
      <c r="A49" s="196">
        <v>320200</v>
      </c>
      <c r="B49" s="187">
        <f>20000-8905</f>
        <v>11095</v>
      </c>
      <c r="C49" s="187">
        <v>0</v>
      </c>
      <c r="D49" s="187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0</v>
      </c>
      <c r="N49" s="187">
        <v>0</v>
      </c>
      <c r="O49" s="187">
        <v>0</v>
      </c>
      <c r="P49" s="187">
        <v>0</v>
      </c>
      <c r="Q49" s="188">
        <f t="shared" si="7"/>
        <v>11095</v>
      </c>
    </row>
    <row r="50" spans="1:17" s="185" customFormat="1" ht="21" customHeight="1">
      <c r="A50" s="196">
        <v>320300</v>
      </c>
      <c r="B50" s="187">
        <f>120000+6000+20000+9600+1250-1000-7518+5000-54048-1756-41288-5576-4040-16944+30000-6106</f>
        <v>53574</v>
      </c>
      <c r="C50" s="187">
        <f>50000+10000+250000-8986-382-32756-2640-2410</f>
        <v>262826</v>
      </c>
      <c r="D50" s="187">
        <f>30000-900+15500-15800-10700-3500</f>
        <v>14600</v>
      </c>
      <c r="E50" s="187">
        <v>0</v>
      </c>
      <c r="F50" s="187">
        <v>0</v>
      </c>
      <c r="G50" s="187">
        <v>15000</v>
      </c>
      <c r="H50" s="187">
        <v>5000</v>
      </c>
      <c r="I50" s="187">
        <f>40000-14300-12134-3880</f>
        <v>9686</v>
      </c>
      <c r="J50" s="187">
        <v>0</v>
      </c>
      <c r="K50" s="187">
        <f>15000+15000+50000+15000+40000-11300-1750-38015+28600-13960</f>
        <v>98575</v>
      </c>
      <c r="L50" s="187">
        <f>110000-50000+40000-85496-5000</f>
        <v>9504</v>
      </c>
      <c r="M50" s="187">
        <f>50000+13960-63960</f>
        <v>0</v>
      </c>
      <c r="N50" s="187">
        <f>55000-47000+17500-4800</f>
        <v>20700</v>
      </c>
      <c r="O50" s="187">
        <v>0</v>
      </c>
      <c r="P50" s="187">
        <v>0</v>
      </c>
      <c r="Q50" s="188">
        <f t="shared" si="7"/>
        <v>489465</v>
      </c>
    </row>
    <row r="51" spans="1:17" s="185" customFormat="1" ht="21" customHeight="1">
      <c r="A51" s="196">
        <v>320400</v>
      </c>
      <c r="B51" s="187">
        <f>50000-3850-7480-1050-3334</f>
        <v>34286</v>
      </c>
      <c r="C51" s="187">
        <f>15000-2700</f>
        <v>12300</v>
      </c>
      <c r="D51" s="187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f>10000-1070</f>
        <v>8930</v>
      </c>
      <c r="J51" s="187">
        <v>20000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188">
        <f t="shared" si="7"/>
        <v>75516</v>
      </c>
    </row>
    <row r="52" spans="1:17" s="185" customFormat="1" ht="21" customHeight="1">
      <c r="A52" s="196">
        <v>320500</v>
      </c>
      <c r="B52" s="187">
        <v>5000</v>
      </c>
      <c r="C52" s="187">
        <v>0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0</v>
      </c>
      <c r="N52" s="187">
        <v>0</v>
      </c>
      <c r="O52" s="187">
        <v>0</v>
      </c>
      <c r="P52" s="187">
        <v>0</v>
      </c>
      <c r="Q52" s="188">
        <f t="shared" si="7"/>
        <v>5000</v>
      </c>
    </row>
    <row r="53" spans="1:17" s="185" customFormat="1" ht="21" customHeight="1">
      <c r="A53" s="190" t="s">
        <v>19</v>
      </c>
      <c r="B53" s="191">
        <f aca="true" t="shared" si="8" ref="B53:P53">SUM(B48:B52)</f>
        <v>299194</v>
      </c>
      <c r="C53" s="191">
        <f t="shared" si="8"/>
        <v>280726</v>
      </c>
      <c r="D53" s="191">
        <f t="shared" si="8"/>
        <v>14600</v>
      </c>
      <c r="E53" s="191">
        <f t="shared" si="8"/>
        <v>0</v>
      </c>
      <c r="F53" s="191">
        <f t="shared" si="8"/>
        <v>0</v>
      </c>
      <c r="G53" s="191">
        <f t="shared" si="8"/>
        <v>57100</v>
      </c>
      <c r="H53" s="191">
        <f t="shared" si="8"/>
        <v>5000</v>
      </c>
      <c r="I53" s="191">
        <f t="shared" si="8"/>
        <v>43276</v>
      </c>
      <c r="J53" s="191">
        <f t="shared" si="8"/>
        <v>20000</v>
      </c>
      <c r="K53" s="191">
        <f t="shared" si="8"/>
        <v>114772.76000000001</v>
      </c>
      <c r="L53" s="191">
        <f t="shared" si="8"/>
        <v>9504</v>
      </c>
      <c r="M53" s="191">
        <f t="shared" si="8"/>
        <v>0</v>
      </c>
      <c r="N53" s="191">
        <f t="shared" si="8"/>
        <v>20700</v>
      </c>
      <c r="O53" s="191">
        <f t="shared" si="8"/>
        <v>0</v>
      </c>
      <c r="P53" s="191">
        <f t="shared" si="8"/>
        <v>0</v>
      </c>
      <c r="Q53" s="188">
        <f t="shared" si="7"/>
        <v>864872.76</v>
      </c>
    </row>
    <row r="54" spans="1:17" s="185" customFormat="1" ht="21" customHeight="1">
      <c r="A54" s="201"/>
      <c r="B54" s="202"/>
      <c r="C54" s="519" t="s">
        <v>7</v>
      </c>
      <c r="D54" s="519"/>
      <c r="E54" s="519"/>
      <c r="F54" s="205"/>
      <c r="G54" s="205"/>
      <c r="H54" s="202"/>
      <c r="I54" s="202"/>
      <c r="J54" s="514" t="s">
        <v>101</v>
      </c>
      <c r="K54" s="514"/>
      <c r="L54" s="514"/>
      <c r="M54" s="202"/>
      <c r="N54" s="202"/>
      <c r="O54" s="202"/>
      <c r="P54" s="202"/>
      <c r="Q54" s="203"/>
    </row>
    <row r="55" spans="1:17" s="185" customFormat="1" ht="21" customHeight="1">
      <c r="A55" s="201"/>
      <c r="B55" s="202"/>
      <c r="C55" s="205"/>
      <c r="D55" s="205"/>
      <c r="E55" s="205"/>
      <c r="F55" s="205"/>
      <c r="G55" s="205"/>
      <c r="H55" s="202"/>
      <c r="I55" s="202"/>
      <c r="J55" s="85"/>
      <c r="K55" s="85"/>
      <c r="L55" s="85"/>
      <c r="M55" s="202"/>
      <c r="N55" s="202"/>
      <c r="O55" s="202"/>
      <c r="P55" s="202"/>
      <c r="Q55" s="203"/>
    </row>
    <row r="56" spans="1:17" s="185" customFormat="1" ht="21" customHeight="1">
      <c r="A56" s="204"/>
      <c r="B56" s="202"/>
      <c r="C56" s="205"/>
      <c r="D56" s="205"/>
      <c r="E56" s="205"/>
      <c r="F56" s="205"/>
      <c r="G56" s="205"/>
      <c r="H56" s="202"/>
      <c r="I56" s="202"/>
      <c r="J56" s="85"/>
      <c r="K56" s="75"/>
      <c r="L56" s="75"/>
      <c r="M56" s="202"/>
      <c r="N56" s="202"/>
      <c r="O56" s="202"/>
      <c r="P56" s="202"/>
      <c r="Q56" s="203"/>
    </row>
    <row r="57" spans="1:17" s="185" customFormat="1" ht="21" customHeight="1">
      <c r="A57" s="204"/>
      <c r="B57" s="202"/>
      <c r="C57" s="519" t="s">
        <v>119</v>
      </c>
      <c r="D57" s="519"/>
      <c r="E57" s="519"/>
      <c r="F57" s="205"/>
      <c r="G57" s="205"/>
      <c r="H57" s="202"/>
      <c r="I57" s="202"/>
      <c r="J57" s="514" t="s">
        <v>238</v>
      </c>
      <c r="K57" s="514"/>
      <c r="L57" s="514"/>
      <c r="M57" s="202"/>
      <c r="N57" s="202"/>
      <c r="O57" s="202"/>
      <c r="P57" s="202"/>
      <c r="Q57" s="203"/>
    </row>
    <row r="58" spans="1:17" s="185" customFormat="1" ht="21" customHeight="1">
      <c r="A58" s="204"/>
      <c r="B58" s="202"/>
      <c r="C58" s="519" t="s">
        <v>111</v>
      </c>
      <c r="D58" s="519"/>
      <c r="E58" s="519"/>
      <c r="F58" s="205"/>
      <c r="G58" s="205"/>
      <c r="H58" s="202"/>
      <c r="I58" s="202"/>
      <c r="J58" s="514" t="s">
        <v>100</v>
      </c>
      <c r="K58" s="514"/>
      <c r="L58" s="514"/>
      <c r="M58" s="202"/>
      <c r="N58" s="202"/>
      <c r="O58" s="202"/>
      <c r="P58" s="202"/>
      <c r="Q58" s="203"/>
    </row>
    <row r="59" spans="1:17" s="185" customFormat="1" ht="21" customHeight="1">
      <c r="A59" s="204"/>
      <c r="B59" s="202"/>
      <c r="C59" s="205"/>
      <c r="D59" s="205"/>
      <c r="E59" s="205"/>
      <c r="F59" s="205"/>
      <c r="G59" s="205"/>
      <c r="H59" s="202"/>
      <c r="I59" s="202"/>
      <c r="J59" s="202"/>
      <c r="K59" s="202"/>
      <c r="L59" s="202"/>
      <c r="M59" s="202"/>
      <c r="N59" s="202"/>
      <c r="O59" s="202"/>
      <c r="P59" s="202"/>
      <c r="Q59" s="203"/>
    </row>
    <row r="60" spans="1:17" s="185" customFormat="1" ht="21" customHeight="1">
      <c r="A60" s="204"/>
      <c r="B60" s="202"/>
      <c r="C60" s="205"/>
      <c r="D60" s="205"/>
      <c r="E60" s="205"/>
      <c r="F60" s="205"/>
      <c r="G60" s="205"/>
      <c r="H60" s="202"/>
      <c r="I60" s="202"/>
      <c r="J60" s="202"/>
      <c r="K60" s="202"/>
      <c r="L60" s="202"/>
      <c r="M60" s="202"/>
      <c r="N60" s="202"/>
      <c r="O60" s="202"/>
      <c r="P60" s="202"/>
      <c r="Q60" s="203"/>
    </row>
    <row r="61" spans="1:17" s="185" customFormat="1" ht="21" customHeight="1">
      <c r="A61" s="204"/>
      <c r="B61" s="202"/>
      <c r="C61" s="205"/>
      <c r="D61" s="205"/>
      <c r="E61" s="205"/>
      <c r="F61" s="205"/>
      <c r="G61" s="205"/>
      <c r="H61" s="202"/>
      <c r="I61" s="202"/>
      <c r="J61" s="202"/>
      <c r="K61" s="202"/>
      <c r="L61" s="202"/>
      <c r="M61" s="202"/>
      <c r="N61" s="202"/>
      <c r="O61" s="202"/>
      <c r="P61" s="202"/>
      <c r="Q61" s="203"/>
    </row>
    <row r="62" spans="1:17" s="185" customFormat="1" ht="21" customHeight="1">
      <c r="A62" s="204"/>
      <c r="B62" s="202"/>
      <c r="C62" s="205"/>
      <c r="D62" s="205"/>
      <c r="E62" s="205"/>
      <c r="F62" s="205"/>
      <c r="G62" s="205"/>
      <c r="H62" s="202"/>
      <c r="I62" s="202"/>
      <c r="J62" s="202"/>
      <c r="K62" s="202"/>
      <c r="L62" s="202"/>
      <c r="M62" s="202"/>
      <c r="N62" s="202"/>
      <c r="O62" s="202"/>
      <c r="P62" s="202"/>
      <c r="Q62" s="203"/>
    </row>
    <row r="63" spans="1:17" s="185" customFormat="1" ht="21" customHeight="1">
      <c r="A63" s="204"/>
      <c r="B63" s="202"/>
      <c r="C63" s="205"/>
      <c r="D63" s="205"/>
      <c r="E63" s="205"/>
      <c r="F63" s="205"/>
      <c r="G63" s="205"/>
      <c r="H63" s="202"/>
      <c r="I63" s="202"/>
      <c r="J63" s="202"/>
      <c r="K63" s="202"/>
      <c r="L63" s="202"/>
      <c r="M63" s="202"/>
      <c r="N63" s="202"/>
      <c r="O63" s="202"/>
      <c r="P63" s="202"/>
      <c r="Q63" s="203"/>
    </row>
    <row r="64" spans="1:17" s="185" customFormat="1" ht="21" customHeight="1">
      <c r="A64" s="204"/>
      <c r="B64" s="202"/>
      <c r="C64" s="205"/>
      <c r="D64" s="205"/>
      <c r="E64" s="205"/>
      <c r="F64" s="205"/>
      <c r="G64" s="205"/>
      <c r="H64" s="202"/>
      <c r="I64" s="202"/>
      <c r="J64" s="202"/>
      <c r="K64" s="202"/>
      <c r="L64" s="202"/>
      <c r="M64" s="202"/>
      <c r="N64" s="202"/>
      <c r="O64" s="202"/>
      <c r="P64" s="202"/>
      <c r="Q64" s="203"/>
    </row>
    <row r="65" spans="1:17" s="185" customFormat="1" ht="21" customHeight="1">
      <c r="A65" s="204"/>
      <c r="B65" s="202"/>
      <c r="C65" s="205"/>
      <c r="D65" s="205"/>
      <c r="E65" s="205"/>
      <c r="F65" s="205"/>
      <c r="G65" s="205"/>
      <c r="H65" s="202"/>
      <c r="I65" s="202"/>
      <c r="J65" s="202"/>
      <c r="K65" s="202"/>
      <c r="L65" s="202"/>
      <c r="M65" s="202"/>
      <c r="N65" s="202"/>
      <c r="O65" s="202"/>
      <c r="P65" s="202"/>
      <c r="Q65" s="203"/>
    </row>
    <row r="66" spans="1:17" s="185" customFormat="1" ht="21" customHeight="1">
      <c r="A66" s="204"/>
      <c r="B66" s="202"/>
      <c r="C66" s="205"/>
      <c r="D66" s="205"/>
      <c r="E66" s="205"/>
      <c r="F66" s="205"/>
      <c r="G66" s="205"/>
      <c r="H66" s="202"/>
      <c r="I66" s="202"/>
      <c r="J66" s="202"/>
      <c r="K66" s="202"/>
      <c r="L66" s="202"/>
      <c r="M66" s="202"/>
      <c r="N66" s="202"/>
      <c r="O66" s="202"/>
      <c r="P66" s="202"/>
      <c r="Q66" s="203"/>
    </row>
    <row r="67" spans="1:17" s="185" customFormat="1" ht="21" customHeight="1">
      <c r="A67" s="204"/>
      <c r="B67" s="202"/>
      <c r="C67" s="205"/>
      <c r="D67" s="205"/>
      <c r="E67" s="205"/>
      <c r="F67" s="205"/>
      <c r="G67" s="205"/>
      <c r="H67" s="202"/>
      <c r="I67" s="202"/>
      <c r="J67" s="202"/>
      <c r="K67" s="202"/>
      <c r="L67" s="202"/>
      <c r="M67" s="202"/>
      <c r="N67" s="202"/>
      <c r="O67" s="202"/>
      <c r="P67" s="202"/>
      <c r="Q67" s="203"/>
    </row>
    <row r="68" spans="1:17" s="185" customFormat="1" ht="21" customHeight="1">
      <c r="A68" s="204"/>
      <c r="B68" s="202"/>
      <c r="C68" s="205"/>
      <c r="D68" s="205"/>
      <c r="E68" s="205"/>
      <c r="F68" s="205"/>
      <c r="G68" s="205"/>
      <c r="H68" s="202"/>
      <c r="I68" s="202"/>
      <c r="J68" s="202"/>
      <c r="K68" s="202"/>
      <c r="L68" s="202"/>
      <c r="M68" s="202"/>
      <c r="N68" s="202"/>
      <c r="O68" s="202"/>
      <c r="P68" s="202"/>
      <c r="Q68" s="203"/>
    </row>
    <row r="69" spans="1:17" s="185" customFormat="1" ht="21" customHeight="1">
      <c r="A69" s="204"/>
      <c r="B69" s="202"/>
      <c r="C69" s="205"/>
      <c r="D69" s="205"/>
      <c r="E69" s="205"/>
      <c r="F69" s="205"/>
      <c r="G69" s="205"/>
      <c r="H69" s="202"/>
      <c r="I69" s="202"/>
      <c r="J69" s="202"/>
      <c r="K69" s="202"/>
      <c r="L69" s="202"/>
      <c r="M69" s="202"/>
      <c r="N69" s="202"/>
      <c r="O69" s="202"/>
      <c r="P69" s="202"/>
      <c r="Q69" s="203"/>
    </row>
    <row r="70" spans="1:17" s="185" customFormat="1" ht="21" customHeight="1" thickBot="1">
      <c r="A70" s="520" t="s">
        <v>72</v>
      </c>
      <c r="B70" s="520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</row>
    <row r="71" spans="1:17" s="171" customFormat="1" ht="21" customHeight="1">
      <c r="A71" s="166" t="s">
        <v>16</v>
      </c>
      <c r="B71" s="521" t="s">
        <v>82</v>
      </c>
      <c r="C71" s="522"/>
      <c r="D71" s="521" t="s">
        <v>85</v>
      </c>
      <c r="E71" s="522"/>
      <c r="F71" s="167" t="s">
        <v>91</v>
      </c>
      <c r="G71" s="167" t="s">
        <v>92</v>
      </c>
      <c r="H71" s="168" t="s">
        <v>95</v>
      </c>
      <c r="I71" s="521" t="s">
        <v>86</v>
      </c>
      <c r="J71" s="522"/>
      <c r="K71" s="169" t="s">
        <v>96</v>
      </c>
      <c r="L71" s="521" t="s">
        <v>87</v>
      </c>
      <c r="M71" s="523"/>
      <c r="N71" s="169" t="s">
        <v>99</v>
      </c>
      <c r="O71" s="169" t="s">
        <v>115</v>
      </c>
      <c r="P71" s="167" t="s">
        <v>80</v>
      </c>
      <c r="Q71" s="170" t="s">
        <v>17</v>
      </c>
    </row>
    <row r="72" spans="1:17" s="171" customFormat="1" ht="21" customHeight="1" thickBot="1">
      <c r="A72" s="172" t="s">
        <v>18</v>
      </c>
      <c r="B72" s="174" t="s">
        <v>83</v>
      </c>
      <c r="C72" s="175" t="s">
        <v>84</v>
      </c>
      <c r="D72" s="173" t="s">
        <v>76</v>
      </c>
      <c r="E72" s="173" t="s">
        <v>77</v>
      </c>
      <c r="F72" s="174" t="s">
        <v>90</v>
      </c>
      <c r="G72" s="174" t="s">
        <v>93</v>
      </c>
      <c r="H72" s="177" t="s">
        <v>94</v>
      </c>
      <c r="I72" s="173" t="s">
        <v>78</v>
      </c>
      <c r="J72" s="173" t="s">
        <v>79</v>
      </c>
      <c r="K72" s="178" t="s">
        <v>97</v>
      </c>
      <c r="L72" s="175" t="s">
        <v>88</v>
      </c>
      <c r="M72" s="176" t="s">
        <v>89</v>
      </c>
      <c r="N72" s="178" t="s">
        <v>98</v>
      </c>
      <c r="O72" s="178" t="s">
        <v>116</v>
      </c>
      <c r="P72" s="173" t="s">
        <v>81</v>
      </c>
      <c r="Q72" s="179"/>
    </row>
    <row r="73" spans="1:17" s="185" customFormat="1" ht="21" customHeight="1">
      <c r="A73" s="193">
        <v>533000</v>
      </c>
      <c r="B73" s="191"/>
      <c r="C73" s="200"/>
      <c r="D73" s="181"/>
      <c r="E73" s="191"/>
      <c r="F73" s="197"/>
      <c r="G73" s="182"/>
      <c r="H73" s="191"/>
      <c r="I73" s="191"/>
      <c r="J73" s="191"/>
      <c r="K73" s="188"/>
      <c r="L73" s="206"/>
      <c r="M73" s="199"/>
      <c r="N73" s="188"/>
      <c r="O73" s="188"/>
      <c r="P73" s="199"/>
      <c r="Q73" s="188"/>
    </row>
    <row r="74" spans="1:17" s="185" customFormat="1" ht="21" customHeight="1">
      <c r="A74" s="207">
        <v>330100</v>
      </c>
      <c r="B74" s="187">
        <f>100000-2050-4100</f>
        <v>93850</v>
      </c>
      <c r="C74" s="187">
        <f>30000-5400-8100-5400</f>
        <v>11100</v>
      </c>
      <c r="D74" s="187">
        <v>0</v>
      </c>
      <c r="E74" s="187">
        <v>0</v>
      </c>
      <c r="F74" s="187">
        <f>50000-50000</f>
        <v>0</v>
      </c>
      <c r="G74" s="187">
        <v>0</v>
      </c>
      <c r="H74" s="187">
        <v>0</v>
      </c>
      <c r="I74" s="187">
        <v>15000</v>
      </c>
      <c r="J74" s="187">
        <v>0</v>
      </c>
      <c r="K74" s="187">
        <v>20000</v>
      </c>
      <c r="L74" s="187">
        <v>0</v>
      </c>
      <c r="M74" s="187">
        <v>0</v>
      </c>
      <c r="N74" s="187">
        <v>0</v>
      </c>
      <c r="O74" s="187">
        <v>0</v>
      </c>
      <c r="P74" s="187">
        <v>0</v>
      </c>
      <c r="Q74" s="188">
        <f aca="true" t="shared" si="9" ref="Q74:Q87">SUM(B74:P74)</f>
        <v>139950</v>
      </c>
    </row>
    <row r="75" spans="1:17" s="185" customFormat="1" ht="21" customHeight="1">
      <c r="A75" s="207">
        <v>330200</v>
      </c>
      <c r="B75" s="187">
        <f>20000-1810-7080+5000-11250</f>
        <v>4860</v>
      </c>
      <c r="C75" s="187">
        <v>0</v>
      </c>
      <c r="D75" s="187">
        <v>0</v>
      </c>
      <c r="E75" s="187">
        <v>0</v>
      </c>
      <c r="F75" s="187">
        <v>0</v>
      </c>
      <c r="G75" s="187">
        <v>0</v>
      </c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0</v>
      </c>
      <c r="N75" s="187">
        <v>0</v>
      </c>
      <c r="O75" s="187">
        <v>0</v>
      </c>
      <c r="P75" s="187">
        <v>0</v>
      </c>
      <c r="Q75" s="188">
        <f t="shared" si="9"/>
        <v>4860</v>
      </c>
    </row>
    <row r="76" spans="1:17" s="185" customFormat="1" ht="21" customHeight="1">
      <c r="A76" s="196">
        <v>330300</v>
      </c>
      <c r="B76" s="187">
        <f>6000-2100</f>
        <v>3900</v>
      </c>
      <c r="C76" s="187">
        <v>0</v>
      </c>
      <c r="D76" s="187">
        <v>0</v>
      </c>
      <c r="E76" s="187">
        <v>0</v>
      </c>
      <c r="F76" s="187">
        <f>6000-6000</f>
        <v>0</v>
      </c>
      <c r="G76" s="187">
        <v>9000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0</v>
      </c>
      <c r="N76" s="187">
        <v>0</v>
      </c>
      <c r="O76" s="187">
        <f>60000-25000-35000-43750+45000</f>
        <v>1250</v>
      </c>
      <c r="P76" s="187">
        <v>0</v>
      </c>
      <c r="Q76" s="188">
        <f t="shared" si="9"/>
        <v>14150</v>
      </c>
    </row>
    <row r="77" spans="1:17" s="185" customFormat="1" ht="21" customHeight="1">
      <c r="A77" s="196">
        <v>330600</v>
      </c>
      <c r="B77" s="187">
        <f>10000-1990</f>
        <v>8010</v>
      </c>
      <c r="C77" s="187">
        <v>0</v>
      </c>
      <c r="D77" s="187">
        <v>0</v>
      </c>
      <c r="E77" s="187">
        <v>0</v>
      </c>
      <c r="F77" s="187">
        <v>0</v>
      </c>
      <c r="G77" s="187">
        <v>0</v>
      </c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0</v>
      </c>
      <c r="N77" s="187">
        <v>0</v>
      </c>
      <c r="O77" s="187">
        <f>20000+30000+25000-40495.7+29000-49000-37227+35000</f>
        <v>12277.300000000003</v>
      </c>
      <c r="P77" s="187">
        <v>0</v>
      </c>
      <c r="Q77" s="188">
        <f t="shared" si="9"/>
        <v>20287.300000000003</v>
      </c>
    </row>
    <row r="78" spans="1:17" s="185" customFormat="1" ht="21" customHeight="1">
      <c r="A78" s="196">
        <v>330700</v>
      </c>
      <c r="B78" s="187">
        <f>30000-3500-1660-3300-9390-1620-2470</f>
        <v>8060</v>
      </c>
      <c r="C78" s="187">
        <v>0</v>
      </c>
      <c r="D78" s="187">
        <v>0</v>
      </c>
      <c r="E78" s="187">
        <v>0</v>
      </c>
      <c r="F78" s="187">
        <v>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0</v>
      </c>
      <c r="N78" s="187">
        <v>0</v>
      </c>
      <c r="O78" s="187">
        <v>0</v>
      </c>
      <c r="P78" s="187">
        <v>0</v>
      </c>
      <c r="Q78" s="188">
        <f t="shared" si="9"/>
        <v>8060</v>
      </c>
    </row>
    <row r="79" spans="1:17" s="185" customFormat="1" ht="21" customHeight="1">
      <c r="A79" s="196">
        <v>330800</v>
      </c>
      <c r="B79" s="187">
        <f>300000-9279-13805-16029-17945-27104-18798-16543-10680-27922</f>
        <v>141895</v>
      </c>
      <c r="C79" s="187">
        <v>0</v>
      </c>
      <c r="D79" s="187">
        <v>0</v>
      </c>
      <c r="E79" s="187">
        <v>0</v>
      </c>
      <c r="F79" s="187">
        <v>0</v>
      </c>
      <c r="G79" s="187">
        <v>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0</v>
      </c>
      <c r="N79" s="187">
        <v>0</v>
      </c>
      <c r="O79" s="187">
        <v>0</v>
      </c>
      <c r="P79" s="187">
        <v>0</v>
      </c>
      <c r="Q79" s="188">
        <f t="shared" si="9"/>
        <v>141895</v>
      </c>
    </row>
    <row r="80" spans="1:17" s="185" customFormat="1" ht="21" customHeight="1">
      <c r="A80" s="196">
        <v>330900</v>
      </c>
      <c r="B80" s="187">
        <v>0</v>
      </c>
      <c r="C80" s="187">
        <v>0</v>
      </c>
      <c r="D80" s="187">
        <v>0</v>
      </c>
      <c r="E80" s="187">
        <v>0</v>
      </c>
      <c r="F80" s="187">
        <v>0</v>
      </c>
      <c r="G80" s="187">
        <v>30000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0</v>
      </c>
      <c r="Q80" s="188">
        <f t="shared" si="9"/>
        <v>30000</v>
      </c>
    </row>
    <row r="81" spans="1:17" s="185" customFormat="1" ht="21" customHeight="1">
      <c r="A81" s="196">
        <v>331000</v>
      </c>
      <c r="B81" s="187">
        <v>0</v>
      </c>
      <c r="C81" s="187">
        <v>0</v>
      </c>
      <c r="D81" s="187">
        <v>0</v>
      </c>
      <c r="E81" s="187">
        <v>0</v>
      </c>
      <c r="F81" s="187">
        <v>0</v>
      </c>
      <c r="G81" s="187">
        <v>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0</v>
      </c>
      <c r="N81" s="187">
        <f>30000+10000+30000-5250+10000-11620-6960-11080+15000-9480+10000</f>
        <v>60610</v>
      </c>
      <c r="O81" s="187">
        <v>0</v>
      </c>
      <c r="P81" s="187">
        <v>0</v>
      </c>
      <c r="Q81" s="188">
        <f t="shared" si="9"/>
        <v>60610</v>
      </c>
    </row>
    <row r="82" spans="1:17" s="185" customFormat="1" ht="21" customHeight="1">
      <c r="A82" s="196">
        <v>331100</v>
      </c>
      <c r="B82" s="187">
        <f>70000-5500-38500-14250-3200-800</f>
        <v>7750</v>
      </c>
      <c r="C82" s="187">
        <f>10000-9000</f>
        <v>1000</v>
      </c>
      <c r="D82" s="187">
        <v>0</v>
      </c>
      <c r="E82" s="187">
        <v>0</v>
      </c>
      <c r="F82" s="187">
        <v>0</v>
      </c>
      <c r="G82" s="187">
        <v>0</v>
      </c>
      <c r="H82" s="187">
        <v>0</v>
      </c>
      <c r="I82" s="187">
        <v>5000</v>
      </c>
      <c r="J82" s="187">
        <v>0</v>
      </c>
      <c r="K82" s="187">
        <f>15000-13800</f>
        <v>1200</v>
      </c>
      <c r="L82" s="187">
        <v>0</v>
      </c>
      <c r="M82" s="187">
        <v>0</v>
      </c>
      <c r="N82" s="187">
        <v>0</v>
      </c>
      <c r="O82" s="187">
        <v>0</v>
      </c>
      <c r="P82" s="187">
        <v>0</v>
      </c>
      <c r="Q82" s="188">
        <f t="shared" si="9"/>
        <v>14950</v>
      </c>
    </row>
    <row r="83" spans="1:17" s="185" customFormat="1" ht="21" customHeight="1">
      <c r="A83" s="196">
        <v>331400</v>
      </c>
      <c r="B83" s="187">
        <f>40000-28520-1100</f>
        <v>10380</v>
      </c>
      <c r="C83" s="187">
        <f>15000-13550</f>
        <v>1450</v>
      </c>
      <c r="D83" s="187">
        <v>0</v>
      </c>
      <c r="E83" s="187">
        <v>0</v>
      </c>
      <c r="F83" s="187">
        <v>0</v>
      </c>
      <c r="G83" s="187">
        <v>0</v>
      </c>
      <c r="H83" s="187">
        <v>0</v>
      </c>
      <c r="I83" s="187">
        <f>8000-5680</f>
        <v>2320</v>
      </c>
      <c r="J83" s="187">
        <v>0</v>
      </c>
      <c r="K83" s="187">
        <v>0</v>
      </c>
      <c r="L83" s="187">
        <v>0</v>
      </c>
      <c r="M83" s="187">
        <v>0</v>
      </c>
      <c r="N83" s="187">
        <v>0</v>
      </c>
      <c r="O83" s="187">
        <v>0</v>
      </c>
      <c r="P83" s="187">
        <v>0</v>
      </c>
      <c r="Q83" s="188">
        <f t="shared" si="9"/>
        <v>14150</v>
      </c>
    </row>
    <row r="84" spans="1:17" s="185" customFormat="1" ht="21" customHeight="1">
      <c r="A84" s="196">
        <v>331700</v>
      </c>
      <c r="B84" s="187">
        <v>0</v>
      </c>
      <c r="C84" s="187">
        <v>0</v>
      </c>
      <c r="D84" s="187">
        <v>0</v>
      </c>
      <c r="E84" s="187">
        <v>0</v>
      </c>
      <c r="F84" s="187">
        <f>408672+294000+117600+25200-117600-25200-352922.5</f>
        <v>349749.5</v>
      </c>
      <c r="G84" s="187">
        <v>0</v>
      </c>
      <c r="H84" s="187">
        <v>0</v>
      </c>
      <c r="I84" s="187">
        <v>0</v>
      </c>
      <c r="J84" s="187">
        <v>0</v>
      </c>
      <c r="K84" s="187">
        <v>0</v>
      </c>
      <c r="L84" s="187">
        <f>13200-13200</f>
        <v>0</v>
      </c>
      <c r="M84" s="187">
        <v>0</v>
      </c>
      <c r="N84" s="187">
        <v>0</v>
      </c>
      <c r="O84" s="187">
        <v>0</v>
      </c>
      <c r="P84" s="187">
        <v>0</v>
      </c>
      <c r="Q84" s="188">
        <f t="shared" si="9"/>
        <v>349749.5</v>
      </c>
    </row>
    <row r="85" spans="1:17" s="185" customFormat="1" ht="21" customHeight="1">
      <c r="A85" s="196">
        <v>331800</v>
      </c>
      <c r="B85" s="187">
        <v>10000</v>
      </c>
      <c r="C85" s="187">
        <v>0</v>
      </c>
      <c r="D85" s="187">
        <v>0</v>
      </c>
      <c r="E85" s="187">
        <v>0</v>
      </c>
      <c r="F85" s="187">
        <v>0</v>
      </c>
      <c r="G85" s="187">
        <v>0</v>
      </c>
      <c r="H85" s="187">
        <v>0</v>
      </c>
      <c r="I85" s="187">
        <v>0</v>
      </c>
      <c r="J85" s="187">
        <v>0</v>
      </c>
      <c r="K85" s="187">
        <v>0</v>
      </c>
      <c r="L85" s="187">
        <f>13200-13200</f>
        <v>0</v>
      </c>
      <c r="M85" s="187">
        <v>0</v>
      </c>
      <c r="N85" s="187">
        <v>0</v>
      </c>
      <c r="O85" s="187">
        <v>0</v>
      </c>
      <c r="P85" s="187">
        <v>0</v>
      </c>
      <c r="Q85" s="188">
        <f t="shared" si="9"/>
        <v>10000</v>
      </c>
    </row>
    <row r="86" spans="1:17" s="185" customFormat="1" ht="21" customHeight="1">
      <c r="A86" s="196">
        <v>331900</v>
      </c>
      <c r="B86" s="187">
        <f>3600-3600</f>
        <v>0</v>
      </c>
      <c r="C86" s="187">
        <v>0</v>
      </c>
      <c r="D86" s="187">
        <v>0</v>
      </c>
      <c r="E86" s="187">
        <v>0</v>
      </c>
      <c r="F86" s="187">
        <v>0</v>
      </c>
      <c r="G86" s="187">
        <v>0</v>
      </c>
      <c r="H86" s="187">
        <v>0</v>
      </c>
      <c r="I86" s="187">
        <v>0</v>
      </c>
      <c r="J86" s="187">
        <v>0</v>
      </c>
      <c r="K86" s="187">
        <v>0</v>
      </c>
      <c r="L86" s="187">
        <f>13200-13200</f>
        <v>0</v>
      </c>
      <c r="M86" s="187">
        <v>0</v>
      </c>
      <c r="N86" s="187">
        <v>0</v>
      </c>
      <c r="O86" s="187">
        <v>0</v>
      </c>
      <c r="P86" s="187">
        <v>0</v>
      </c>
      <c r="Q86" s="188">
        <f t="shared" si="9"/>
        <v>0</v>
      </c>
    </row>
    <row r="87" spans="1:17" s="185" customFormat="1" ht="21" customHeight="1">
      <c r="A87" s="190" t="s">
        <v>19</v>
      </c>
      <c r="B87" s="191">
        <f aca="true" t="shared" si="10" ref="B87:P87">SUM(B74:B86)</f>
        <v>288705</v>
      </c>
      <c r="C87" s="191">
        <f t="shared" si="10"/>
        <v>13550</v>
      </c>
      <c r="D87" s="191">
        <f t="shared" si="10"/>
        <v>0</v>
      </c>
      <c r="E87" s="191">
        <f t="shared" si="10"/>
        <v>0</v>
      </c>
      <c r="F87" s="191">
        <f t="shared" si="10"/>
        <v>349749.5</v>
      </c>
      <c r="G87" s="191">
        <f t="shared" si="10"/>
        <v>39000</v>
      </c>
      <c r="H87" s="191">
        <f t="shared" si="10"/>
        <v>0</v>
      </c>
      <c r="I87" s="191">
        <f t="shared" si="10"/>
        <v>22320</v>
      </c>
      <c r="J87" s="191">
        <f t="shared" si="10"/>
        <v>0</v>
      </c>
      <c r="K87" s="191">
        <f t="shared" si="10"/>
        <v>21200</v>
      </c>
      <c r="L87" s="191">
        <f t="shared" si="10"/>
        <v>0</v>
      </c>
      <c r="M87" s="191">
        <f t="shared" si="10"/>
        <v>0</v>
      </c>
      <c r="N87" s="191">
        <f t="shared" si="10"/>
        <v>60610</v>
      </c>
      <c r="O87" s="191">
        <f t="shared" si="10"/>
        <v>13527.300000000003</v>
      </c>
      <c r="P87" s="191">
        <f t="shared" si="10"/>
        <v>0</v>
      </c>
      <c r="Q87" s="188">
        <f t="shared" si="9"/>
        <v>808661.8</v>
      </c>
    </row>
    <row r="88" spans="1:17" s="185" customFormat="1" ht="21" customHeight="1">
      <c r="A88" s="193">
        <v>534000</v>
      </c>
      <c r="B88" s="191"/>
      <c r="C88" s="195"/>
      <c r="D88" s="194"/>
      <c r="E88" s="194"/>
      <c r="F88" s="195"/>
      <c r="G88" s="194"/>
      <c r="H88" s="191"/>
      <c r="I88" s="194"/>
      <c r="J88" s="194"/>
      <c r="K88" s="188"/>
      <c r="L88" s="194"/>
      <c r="M88" s="194"/>
      <c r="N88" s="188"/>
      <c r="O88" s="188"/>
      <c r="P88" s="194"/>
      <c r="Q88" s="188"/>
    </row>
    <row r="89" spans="1:17" s="185" customFormat="1" ht="21" customHeight="1">
      <c r="A89" s="196">
        <v>340100</v>
      </c>
      <c r="B89" s="187">
        <f>115000+5000-9714.8-8827.19-8225.71-7127.25-6546.86-7863.26-9564.18-7844.15-9079.2-9682.68</f>
        <v>35524.719999999994</v>
      </c>
      <c r="C89" s="187">
        <v>0</v>
      </c>
      <c r="D89" s="187">
        <v>0</v>
      </c>
      <c r="E89" s="187">
        <v>0</v>
      </c>
      <c r="F89" s="187">
        <v>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0</v>
      </c>
      <c r="N89" s="187">
        <v>0</v>
      </c>
      <c r="O89" s="187">
        <f>150000-7694.78-7150.59-5409.28-6606.42-8565.42-8238.93-33600-12592.22-13027.51-10850.88-11395.04</f>
        <v>24868.930000000015</v>
      </c>
      <c r="P89" s="187">
        <v>0</v>
      </c>
      <c r="Q89" s="188">
        <f>SUM(B89:P89)</f>
        <v>60393.65000000001</v>
      </c>
    </row>
    <row r="90" spans="1:17" s="185" customFormat="1" ht="21" customHeight="1">
      <c r="A90" s="196">
        <v>340300</v>
      </c>
      <c r="B90" s="187">
        <f>16000-1683.44-1343.17-1233.71-511.62-529.75-493.16-1068.66-438.27-508.41</f>
        <v>8189.8099999999995</v>
      </c>
      <c r="C90" s="187">
        <v>0</v>
      </c>
      <c r="D90" s="187">
        <v>0</v>
      </c>
      <c r="E90" s="187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0</v>
      </c>
      <c r="N90" s="187">
        <v>0</v>
      </c>
      <c r="O90" s="187">
        <v>0</v>
      </c>
      <c r="P90" s="187">
        <v>0</v>
      </c>
      <c r="Q90" s="188">
        <f>SUM(B90:P90)</f>
        <v>8189.8099999999995</v>
      </c>
    </row>
    <row r="91" spans="1:17" s="185" customFormat="1" ht="21" customHeight="1">
      <c r="A91" s="196">
        <v>340400</v>
      </c>
      <c r="B91" s="187">
        <f>6000-5475.84-417.39+2000-560-459-1048-291+5000</f>
        <v>4748.77</v>
      </c>
      <c r="C91" s="187">
        <v>0</v>
      </c>
      <c r="D91" s="187">
        <v>0</v>
      </c>
      <c r="E91" s="187">
        <v>0</v>
      </c>
      <c r="F91" s="187">
        <v>0</v>
      </c>
      <c r="G91" s="187">
        <v>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187">
        <v>0</v>
      </c>
      <c r="P91" s="187">
        <v>0</v>
      </c>
      <c r="Q91" s="188">
        <f>SUM(B91:P91)</f>
        <v>4748.77</v>
      </c>
    </row>
    <row r="92" spans="1:17" s="185" customFormat="1" ht="21" customHeight="1">
      <c r="A92" s="196">
        <v>340500</v>
      </c>
      <c r="B92" s="187">
        <f>58800-1605-1605-1605-1605-5243-5243-10486-5243-5243</f>
        <v>20922</v>
      </c>
      <c r="C92" s="187">
        <v>0</v>
      </c>
      <c r="D92" s="187">
        <v>0</v>
      </c>
      <c r="E92" s="187">
        <v>0</v>
      </c>
      <c r="F92" s="187">
        <v>0</v>
      </c>
      <c r="G92" s="187">
        <v>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0</v>
      </c>
      <c r="N92" s="187">
        <v>0</v>
      </c>
      <c r="O92" s="187">
        <v>0</v>
      </c>
      <c r="P92" s="187">
        <v>0</v>
      </c>
      <c r="Q92" s="188">
        <f>SUM(B92:P92)</f>
        <v>20922</v>
      </c>
    </row>
    <row r="93" spans="1:17" s="185" customFormat="1" ht="21" customHeight="1">
      <c r="A93" s="190" t="s">
        <v>19</v>
      </c>
      <c r="B93" s="194">
        <f aca="true" t="shared" si="11" ref="B93:P93">SUM(B89:B92)</f>
        <v>69385.29999999999</v>
      </c>
      <c r="C93" s="194">
        <f t="shared" si="11"/>
        <v>0</v>
      </c>
      <c r="D93" s="194">
        <f t="shared" si="11"/>
        <v>0</v>
      </c>
      <c r="E93" s="194">
        <f t="shared" si="11"/>
        <v>0</v>
      </c>
      <c r="F93" s="194">
        <f t="shared" si="11"/>
        <v>0</v>
      </c>
      <c r="G93" s="194">
        <f t="shared" si="11"/>
        <v>0</v>
      </c>
      <c r="H93" s="194">
        <f t="shared" si="11"/>
        <v>0</v>
      </c>
      <c r="I93" s="194">
        <f t="shared" si="11"/>
        <v>0</v>
      </c>
      <c r="J93" s="194">
        <f t="shared" si="11"/>
        <v>0</v>
      </c>
      <c r="K93" s="194">
        <f t="shared" si="11"/>
        <v>0</v>
      </c>
      <c r="L93" s="194">
        <f t="shared" si="11"/>
        <v>0</v>
      </c>
      <c r="M93" s="194">
        <f t="shared" si="11"/>
        <v>0</v>
      </c>
      <c r="N93" s="194">
        <f t="shared" si="11"/>
        <v>0</v>
      </c>
      <c r="O93" s="194">
        <f t="shared" si="11"/>
        <v>24868.930000000015</v>
      </c>
      <c r="P93" s="194">
        <f t="shared" si="11"/>
        <v>0</v>
      </c>
      <c r="Q93" s="188">
        <f>SUM(B93:P93)</f>
        <v>94254.23000000001</v>
      </c>
    </row>
    <row r="94" spans="1:17" s="185" customFormat="1" ht="21" customHeight="1">
      <c r="A94" s="201"/>
      <c r="B94" s="209"/>
      <c r="C94" s="519" t="s">
        <v>7</v>
      </c>
      <c r="D94" s="519"/>
      <c r="E94" s="519"/>
      <c r="F94" s="205"/>
      <c r="G94" s="205"/>
      <c r="H94" s="209"/>
      <c r="I94" s="209"/>
      <c r="J94" s="514" t="s">
        <v>101</v>
      </c>
      <c r="K94" s="514"/>
      <c r="L94" s="514"/>
      <c r="M94" s="209"/>
      <c r="N94" s="209"/>
      <c r="O94" s="209"/>
      <c r="P94" s="209"/>
      <c r="Q94" s="209"/>
    </row>
    <row r="95" spans="1:17" s="185" customFormat="1" ht="21" customHeight="1">
      <c r="A95" s="201"/>
      <c r="B95" s="203"/>
      <c r="C95" s="205"/>
      <c r="D95" s="205"/>
      <c r="E95" s="205"/>
      <c r="F95" s="205"/>
      <c r="G95" s="205"/>
      <c r="H95" s="203"/>
      <c r="I95" s="203"/>
      <c r="J95" s="85"/>
      <c r="K95" s="85"/>
      <c r="L95" s="85"/>
      <c r="M95" s="203"/>
      <c r="N95" s="203"/>
      <c r="O95" s="203"/>
      <c r="P95" s="203"/>
      <c r="Q95" s="203"/>
    </row>
    <row r="96" spans="1:17" s="185" customFormat="1" ht="21">
      <c r="A96" s="201"/>
      <c r="B96" s="203"/>
      <c r="C96" s="205"/>
      <c r="D96" s="205"/>
      <c r="E96" s="205"/>
      <c r="F96" s="205"/>
      <c r="G96" s="205"/>
      <c r="H96" s="203"/>
      <c r="I96" s="203"/>
      <c r="J96" s="85"/>
      <c r="K96" s="75"/>
      <c r="L96" s="75"/>
      <c r="M96" s="203"/>
      <c r="N96" s="203"/>
      <c r="O96" s="203"/>
      <c r="P96" s="203"/>
      <c r="Q96" s="203"/>
    </row>
    <row r="97" spans="1:17" s="185" customFormat="1" ht="21" customHeight="1">
      <c r="A97" s="201"/>
      <c r="B97" s="203"/>
      <c r="C97" s="519" t="s">
        <v>121</v>
      </c>
      <c r="D97" s="519"/>
      <c r="E97" s="519"/>
      <c r="F97" s="205"/>
      <c r="G97" s="205"/>
      <c r="H97" s="203"/>
      <c r="I97" s="203"/>
      <c r="J97" s="514" t="s">
        <v>238</v>
      </c>
      <c r="K97" s="514"/>
      <c r="L97" s="514"/>
      <c r="M97" s="203"/>
      <c r="N97" s="203"/>
      <c r="O97" s="203"/>
      <c r="P97" s="203"/>
      <c r="Q97" s="203"/>
    </row>
    <row r="98" spans="1:17" s="210" customFormat="1" ht="21" customHeight="1">
      <c r="A98" s="204"/>
      <c r="B98" s="203"/>
      <c r="C98" s="519" t="s">
        <v>111</v>
      </c>
      <c r="D98" s="519"/>
      <c r="E98" s="519"/>
      <c r="F98" s="205"/>
      <c r="G98" s="205"/>
      <c r="H98" s="203"/>
      <c r="I98" s="203"/>
      <c r="J98" s="514" t="s">
        <v>100</v>
      </c>
      <c r="K98" s="514"/>
      <c r="L98" s="514"/>
      <c r="M98" s="203"/>
      <c r="N98" s="203"/>
      <c r="O98" s="203"/>
      <c r="P98" s="203"/>
      <c r="Q98" s="203"/>
    </row>
    <row r="99" spans="1:17" s="210" customFormat="1" ht="21" customHeight="1">
      <c r="A99" s="204"/>
      <c r="B99" s="203"/>
      <c r="C99" s="205"/>
      <c r="D99" s="205"/>
      <c r="E99" s="205"/>
      <c r="F99" s="205"/>
      <c r="G99" s="205"/>
      <c r="H99" s="203"/>
      <c r="I99" s="203"/>
      <c r="J99" s="203"/>
      <c r="K99" s="203"/>
      <c r="L99" s="203"/>
      <c r="M99" s="203"/>
      <c r="N99" s="203"/>
      <c r="O99" s="203"/>
      <c r="P99" s="203"/>
      <c r="Q99" s="203"/>
    </row>
    <row r="100" spans="1:17" s="210" customFormat="1" ht="21" customHeight="1">
      <c r="A100" s="204"/>
      <c r="B100" s="203"/>
      <c r="C100" s="205"/>
      <c r="D100" s="205"/>
      <c r="E100" s="205"/>
      <c r="F100" s="205"/>
      <c r="G100" s="205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</row>
    <row r="101" spans="1:17" s="210" customFormat="1" ht="21" customHeight="1">
      <c r="A101" s="204"/>
      <c r="B101" s="203"/>
      <c r="C101" s="205"/>
      <c r="D101" s="205"/>
      <c r="E101" s="205"/>
      <c r="F101" s="205"/>
      <c r="G101" s="205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</row>
    <row r="102" spans="1:17" s="210" customFormat="1" ht="21" customHeight="1">
      <c r="A102" s="204"/>
      <c r="B102" s="203"/>
      <c r="C102" s="205"/>
      <c r="D102" s="205"/>
      <c r="E102" s="205"/>
      <c r="F102" s="205"/>
      <c r="G102" s="205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</row>
    <row r="103" spans="1:17" s="210" customFormat="1" ht="21" customHeight="1">
      <c r="A103" s="204"/>
      <c r="B103" s="203"/>
      <c r="C103" s="205"/>
      <c r="D103" s="205"/>
      <c r="E103" s="205"/>
      <c r="F103" s="205"/>
      <c r="G103" s="205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</row>
    <row r="104" spans="1:17" s="210" customFormat="1" ht="21" customHeight="1">
      <c r="A104" s="204"/>
      <c r="B104" s="203"/>
      <c r="C104" s="205"/>
      <c r="D104" s="205"/>
      <c r="E104" s="205"/>
      <c r="F104" s="205"/>
      <c r="G104" s="205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</row>
    <row r="105" spans="1:17" s="185" customFormat="1" ht="21" customHeight="1" thickBot="1">
      <c r="A105" s="527" t="s">
        <v>237</v>
      </c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</row>
    <row r="106" spans="1:17" s="171" customFormat="1" ht="21" customHeight="1">
      <c r="A106" s="166" t="s">
        <v>16</v>
      </c>
      <c r="B106" s="521" t="s">
        <v>82</v>
      </c>
      <c r="C106" s="522"/>
      <c r="D106" s="521" t="s">
        <v>85</v>
      </c>
      <c r="E106" s="522"/>
      <c r="F106" s="167" t="s">
        <v>91</v>
      </c>
      <c r="G106" s="167" t="s">
        <v>92</v>
      </c>
      <c r="H106" s="168" t="s">
        <v>95</v>
      </c>
      <c r="I106" s="521" t="s">
        <v>86</v>
      </c>
      <c r="J106" s="522"/>
      <c r="K106" s="169" t="s">
        <v>96</v>
      </c>
      <c r="L106" s="521" t="s">
        <v>87</v>
      </c>
      <c r="M106" s="523"/>
      <c r="N106" s="169" t="s">
        <v>99</v>
      </c>
      <c r="O106" s="169" t="s">
        <v>115</v>
      </c>
      <c r="P106" s="167" t="s">
        <v>80</v>
      </c>
      <c r="Q106" s="170" t="s">
        <v>17</v>
      </c>
    </row>
    <row r="107" spans="1:17" s="171" customFormat="1" ht="21" customHeight="1" thickBot="1">
      <c r="A107" s="172" t="s">
        <v>18</v>
      </c>
      <c r="B107" s="174" t="s">
        <v>83</v>
      </c>
      <c r="C107" s="175" t="s">
        <v>84</v>
      </c>
      <c r="D107" s="173" t="s">
        <v>76</v>
      </c>
      <c r="E107" s="173" t="s">
        <v>77</v>
      </c>
      <c r="F107" s="174" t="s">
        <v>90</v>
      </c>
      <c r="G107" s="174" t="s">
        <v>93</v>
      </c>
      <c r="H107" s="177" t="s">
        <v>94</v>
      </c>
      <c r="I107" s="173" t="s">
        <v>78</v>
      </c>
      <c r="J107" s="173" t="s">
        <v>79</v>
      </c>
      <c r="K107" s="178" t="s">
        <v>97</v>
      </c>
      <c r="L107" s="175" t="s">
        <v>88</v>
      </c>
      <c r="M107" s="176" t="s">
        <v>89</v>
      </c>
      <c r="N107" s="178" t="s">
        <v>98</v>
      </c>
      <c r="O107" s="178" t="s">
        <v>116</v>
      </c>
      <c r="P107" s="173" t="s">
        <v>81</v>
      </c>
      <c r="Q107" s="179"/>
    </row>
    <row r="108" spans="1:17" s="185" customFormat="1" ht="21" customHeight="1">
      <c r="A108" s="193">
        <v>541000</v>
      </c>
      <c r="B108" s="191"/>
      <c r="C108" s="195"/>
      <c r="D108" s="194"/>
      <c r="E108" s="194"/>
      <c r="F108" s="195"/>
      <c r="G108" s="194"/>
      <c r="H108" s="191"/>
      <c r="I108" s="194"/>
      <c r="J108" s="194"/>
      <c r="K108" s="188"/>
      <c r="L108" s="194"/>
      <c r="M108" s="194"/>
      <c r="N108" s="188"/>
      <c r="O108" s="188"/>
      <c r="P108" s="194"/>
      <c r="Q108" s="188"/>
    </row>
    <row r="109" spans="1:17" s="185" customFormat="1" ht="21" customHeight="1">
      <c r="A109" s="207">
        <v>410100</v>
      </c>
      <c r="B109" s="187">
        <f>45000+8960+100000+25700-19200</f>
        <v>160460</v>
      </c>
      <c r="C109" s="189">
        <f>23200+10000+20000-23200</f>
        <v>30000</v>
      </c>
      <c r="D109" s="187">
        <v>0</v>
      </c>
      <c r="E109" s="187">
        <v>0</v>
      </c>
      <c r="F109" s="189">
        <v>14900</v>
      </c>
      <c r="G109" s="187">
        <v>0</v>
      </c>
      <c r="H109" s="187">
        <v>0</v>
      </c>
      <c r="I109" s="188">
        <f>10000+3600+10000</f>
        <v>23600</v>
      </c>
      <c r="J109" s="187">
        <v>0</v>
      </c>
      <c r="K109" s="187">
        <v>0</v>
      </c>
      <c r="L109" s="187">
        <v>0</v>
      </c>
      <c r="M109" s="187">
        <v>0</v>
      </c>
      <c r="N109" s="187">
        <f>20000+3000+5000</f>
        <v>28000</v>
      </c>
      <c r="O109" s="187">
        <v>0</v>
      </c>
      <c r="P109" s="187">
        <v>0</v>
      </c>
      <c r="Q109" s="188">
        <f aca="true" t="shared" si="12" ref="Q109:Q116">SUM(B109:P109)</f>
        <v>256960</v>
      </c>
    </row>
    <row r="110" spans="1:17" s="185" customFormat="1" ht="21" customHeight="1">
      <c r="A110" s="196">
        <v>410300</v>
      </c>
      <c r="B110" s="187">
        <f>28000+80000-7500</f>
        <v>100500</v>
      </c>
      <c r="C110" s="187">
        <v>0</v>
      </c>
      <c r="D110" s="187">
        <v>0</v>
      </c>
      <c r="E110" s="187">
        <v>0</v>
      </c>
      <c r="F110" s="187">
        <v>0</v>
      </c>
      <c r="G110" s="187">
        <v>0</v>
      </c>
      <c r="H110" s="187">
        <v>0</v>
      </c>
      <c r="I110" s="187">
        <v>0</v>
      </c>
      <c r="J110" s="187">
        <v>0</v>
      </c>
      <c r="K110" s="187">
        <v>0</v>
      </c>
      <c r="L110" s="187">
        <v>0</v>
      </c>
      <c r="M110" s="187">
        <v>0</v>
      </c>
      <c r="N110" s="187">
        <v>0</v>
      </c>
      <c r="O110" s="187">
        <v>0</v>
      </c>
      <c r="P110" s="187">
        <v>0</v>
      </c>
      <c r="Q110" s="188">
        <f t="shared" si="12"/>
        <v>100500</v>
      </c>
    </row>
    <row r="111" spans="1:17" s="185" customFormat="1" ht="21" customHeight="1">
      <c r="A111" s="196">
        <v>410600</v>
      </c>
      <c r="B111" s="187">
        <v>0</v>
      </c>
      <c r="C111" s="187">
        <v>0</v>
      </c>
      <c r="D111" s="187">
        <v>0</v>
      </c>
      <c r="E111" s="187">
        <v>0</v>
      </c>
      <c r="F111" s="187">
        <v>0</v>
      </c>
      <c r="G111" s="187">
        <v>0</v>
      </c>
      <c r="H111" s="187">
        <v>0</v>
      </c>
      <c r="I111" s="187">
        <v>20000</v>
      </c>
      <c r="J111" s="187">
        <v>0</v>
      </c>
      <c r="K111" s="187">
        <v>0</v>
      </c>
      <c r="L111" s="187">
        <v>0</v>
      </c>
      <c r="M111" s="187">
        <v>0</v>
      </c>
      <c r="N111" s="187">
        <v>0</v>
      </c>
      <c r="O111" s="187">
        <v>0</v>
      </c>
      <c r="P111" s="187">
        <v>0</v>
      </c>
      <c r="Q111" s="188">
        <f t="shared" si="12"/>
        <v>20000</v>
      </c>
    </row>
    <row r="112" spans="1:17" s="185" customFormat="1" ht="21" customHeight="1">
      <c r="A112" s="196">
        <v>410700</v>
      </c>
      <c r="B112" s="187">
        <v>0</v>
      </c>
      <c r="C112" s="187">
        <v>0</v>
      </c>
      <c r="D112" s="187">
        <v>0</v>
      </c>
      <c r="E112" s="187">
        <v>0</v>
      </c>
      <c r="F112" s="187">
        <v>5590</v>
      </c>
      <c r="G112" s="187">
        <v>0</v>
      </c>
      <c r="H112" s="187">
        <v>0</v>
      </c>
      <c r="I112" s="187">
        <v>50000</v>
      </c>
      <c r="J112" s="187">
        <v>0</v>
      </c>
      <c r="K112" s="187">
        <v>0</v>
      </c>
      <c r="L112" s="187">
        <v>0</v>
      </c>
      <c r="M112" s="187">
        <v>0</v>
      </c>
      <c r="N112" s="187">
        <v>0</v>
      </c>
      <c r="O112" s="187">
        <v>0</v>
      </c>
      <c r="P112" s="187">
        <v>0</v>
      </c>
      <c r="Q112" s="188">
        <f t="shared" si="12"/>
        <v>55590</v>
      </c>
    </row>
    <row r="113" spans="1:17" s="185" customFormat="1" ht="21" customHeight="1">
      <c r="A113" s="196">
        <v>410800</v>
      </c>
      <c r="B113" s="187">
        <v>0</v>
      </c>
      <c r="C113" s="187">
        <v>0</v>
      </c>
      <c r="D113" s="187">
        <v>0</v>
      </c>
      <c r="E113" s="187">
        <v>0</v>
      </c>
      <c r="F113" s="187">
        <v>0</v>
      </c>
      <c r="G113" s="187">
        <f>19500+22000+2500-2500</f>
        <v>41500</v>
      </c>
      <c r="H113" s="187">
        <v>0</v>
      </c>
      <c r="I113" s="187">
        <v>0</v>
      </c>
      <c r="J113" s="187">
        <v>0</v>
      </c>
      <c r="K113" s="187">
        <v>0</v>
      </c>
      <c r="L113" s="187">
        <v>0</v>
      </c>
      <c r="M113" s="187">
        <v>0</v>
      </c>
      <c r="N113" s="187">
        <f>47500-47500</f>
        <v>0</v>
      </c>
      <c r="O113" s="187">
        <v>0</v>
      </c>
      <c r="P113" s="187">
        <v>0</v>
      </c>
      <c r="Q113" s="188">
        <f t="shared" si="12"/>
        <v>41500</v>
      </c>
    </row>
    <row r="114" spans="1:17" s="185" customFormat="1" ht="21" customHeight="1">
      <c r="A114" s="196">
        <v>410900</v>
      </c>
      <c r="B114" s="187">
        <v>0</v>
      </c>
      <c r="C114" s="187">
        <v>0</v>
      </c>
      <c r="D114" s="187">
        <v>0</v>
      </c>
      <c r="E114" s="187">
        <v>0</v>
      </c>
      <c r="F114" s="187">
        <v>0</v>
      </c>
      <c r="G114" s="187">
        <v>9500</v>
      </c>
      <c r="H114" s="187">
        <v>0</v>
      </c>
      <c r="I114" s="187">
        <v>0</v>
      </c>
      <c r="J114" s="187">
        <v>0</v>
      </c>
      <c r="K114" s="187">
        <v>0</v>
      </c>
      <c r="L114" s="187">
        <v>0</v>
      </c>
      <c r="M114" s="187">
        <v>0</v>
      </c>
      <c r="N114" s="187">
        <v>0</v>
      </c>
      <c r="O114" s="187">
        <v>0</v>
      </c>
      <c r="P114" s="187">
        <v>0</v>
      </c>
      <c r="Q114" s="188">
        <f t="shared" si="12"/>
        <v>9500</v>
      </c>
    </row>
    <row r="115" spans="1:17" s="185" customFormat="1" ht="21" customHeight="1">
      <c r="A115" s="196">
        <v>411700</v>
      </c>
      <c r="B115" s="187">
        <v>0</v>
      </c>
      <c r="C115" s="187">
        <v>0</v>
      </c>
      <c r="D115" s="187">
        <f>27000-27000</f>
        <v>0</v>
      </c>
      <c r="E115" s="187">
        <v>0</v>
      </c>
      <c r="F115" s="187">
        <v>0</v>
      </c>
      <c r="G115" s="187">
        <v>0</v>
      </c>
      <c r="H115" s="187">
        <v>0</v>
      </c>
      <c r="I115" s="187">
        <v>0</v>
      </c>
      <c r="J115" s="187">
        <v>0</v>
      </c>
      <c r="K115" s="187">
        <f>6000-6000</f>
        <v>0</v>
      </c>
      <c r="L115" s="187">
        <v>0</v>
      </c>
      <c r="M115" s="187">
        <v>0</v>
      </c>
      <c r="N115" s="187">
        <v>0</v>
      </c>
      <c r="O115" s="187">
        <v>0</v>
      </c>
      <c r="P115" s="187">
        <v>0</v>
      </c>
      <c r="Q115" s="188">
        <f t="shared" si="12"/>
        <v>0</v>
      </c>
    </row>
    <row r="116" spans="1:17" s="185" customFormat="1" ht="21" customHeight="1">
      <c r="A116" s="190" t="s">
        <v>19</v>
      </c>
      <c r="B116" s="194">
        <f aca="true" t="shared" si="13" ref="B116:P116">SUM(B109:B115)</f>
        <v>260960</v>
      </c>
      <c r="C116" s="194">
        <f t="shared" si="13"/>
        <v>30000</v>
      </c>
      <c r="D116" s="194">
        <f t="shared" si="13"/>
        <v>0</v>
      </c>
      <c r="E116" s="194">
        <f t="shared" si="13"/>
        <v>0</v>
      </c>
      <c r="F116" s="194">
        <f t="shared" si="13"/>
        <v>20490</v>
      </c>
      <c r="G116" s="194">
        <f t="shared" si="13"/>
        <v>51000</v>
      </c>
      <c r="H116" s="194">
        <f t="shared" si="13"/>
        <v>0</v>
      </c>
      <c r="I116" s="194">
        <f t="shared" si="13"/>
        <v>93600</v>
      </c>
      <c r="J116" s="194">
        <f t="shared" si="13"/>
        <v>0</v>
      </c>
      <c r="K116" s="194">
        <f t="shared" si="13"/>
        <v>0</v>
      </c>
      <c r="L116" s="194">
        <f t="shared" si="13"/>
        <v>0</v>
      </c>
      <c r="M116" s="194">
        <f t="shared" si="13"/>
        <v>0</v>
      </c>
      <c r="N116" s="194">
        <f t="shared" si="13"/>
        <v>28000</v>
      </c>
      <c r="O116" s="194">
        <f t="shared" si="13"/>
        <v>0</v>
      </c>
      <c r="P116" s="194">
        <f t="shared" si="13"/>
        <v>0</v>
      </c>
      <c r="Q116" s="188">
        <f t="shared" si="12"/>
        <v>484050</v>
      </c>
    </row>
    <row r="117" spans="1:17" s="185" customFormat="1" ht="21" customHeight="1">
      <c r="A117" s="193">
        <v>542000</v>
      </c>
      <c r="B117" s="191"/>
      <c r="C117" s="195"/>
      <c r="D117" s="194"/>
      <c r="E117" s="194"/>
      <c r="F117" s="195"/>
      <c r="G117" s="194"/>
      <c r="H117" s="191"/>
      <c r="I117" s="194"/>
      <c r="J117" s="194"/>
      <c r="K117" s="188"/>
      <c r="L117" s="194"/>
      <c r="M117" s="194"/>
      <c r="N117" s="188"/>
      <c r="O117" s="188"/>
      <c r="P117" s="194"/>
      <c r="Q117" s="188"/>
    </row>
    <row r="118" spans="1:17" s="185" customFormat="1" ht="18.75">
      <c r="A118" s="190">
        <v>420700</v>
      </c>
      <c r="B118" s="191">
        <v>0</v>
      </c>
      <c r="C118" s="191">
        <v>0</v>
      </c>
      <c r="D118" s="191">
        <v>0</v>
      </c>
      <c r="E118" s="191">
        <v>0</v>
      </c>
      <c r="F118" s="191">
        <v>0</v>
      </c>
      <c r="G118" s="191">
        <v>0</v>
      </c>
      <c r="H118" s="191">
        <v>0</v>
      </c>
      <c r="I118" s="216">
        <v>0</v>
      </c>
      <c r="J118" s="191">
        <v>365000</v>
      </c>
      <c r="K118" s="191">
        <v>0</v>
      </c>
      <c r="L118" s="191">
        <v>0</v>
      </c>
      <c r="M118" s="191">
        <v>0</v>
      </c>
      <c r="N118" s="191">
        <v>0</v>
      </c>
      <c r="O118" s="191">
        <v>0</v>
      </c>
      <c r="P118" s="191">
        <v>0</v>
      </c>
      <c r="Q118" s="188">
        <f>SUM(B118:P118)</f>
        <v>365000</v>
      </c>
    </row>
    <row r="119" spans="1:17" s="185" customFormat="1" ht="18.75">
      <c r="A119" s="190">
        <v>420900</v>
      </c>
      <c r="B119" s="191">
        <v>0</v>
      </c>
      <c r="C119" s="191">
        <v>0</v>
      </c>
      <c r="D119" s="191">
        <v>0</v>
      </c>
      <c r="E119" s="191">
        <v>0</v>
      </c>
      <c r="F119" s="191">
        <v>0</v>
      </c>
      <c r="G119" s="191">
        <v>0</v>
      </c>
      <c r="H119" s="191">
        <v>0</v>
      </c>
      <c r="I119" s="216">
        <v>0</v>
      </c>
      <c r="J119" s="191">
        <f>250000+40700+165000+74500</f>
        <v>530200</v>
      </c>
      <c r="K119" s="191">
        <v>0</v>
      </c>
      <c r="L119" s="191">
        <v>0</v>
      </c>
      <c r="M119" s="191">
        <v>0</v>
      </c>
      <c r="N119" s="191">
        <v>0</v>
      </c>
      <c r="O119" s="191">
        <v>0</v>
      </c>
      <c r="P119" s="191">
        <v>0</v>
      </c>
      <c r="Q119" s="188">
        <f>SUM(B119:P119)</f>
        <v>530200</v>
      </c>
    </row>
    <row r="120" spans="1:17" s="185" customFormat="1" ht="18.75">
      <c r="A120" s="190">
        <v>421000</v>
      </c>
      <c r="B120" s="191">
        <v>0</v>
      </c>
      <c r="C120" s="191">
        <v>0</v>
      </c>
      <c r="D120" s="191">
        <v>0</v>
      </c>
      <c r="E120" s="191">
        <v>0</v>
      </c>
      <c r="F120" s="191">
        <v>0</v>
      </c>
      <c r="G120" s="191">
        <v>0</v>
      </c>
      <c r="H120" s="191">
        <v>100000</v>
      </c>
      <c r="I120" s="216">
        <v>0</v>
      </c>
      <c r="J120" s="191">
        <f>92000+137500+159000+98800+97900+171000+45500+48900+77700+183000+67800-509000</f>
        <v>670100</v>
      </c>
      <c r="K120" s="191">
        <v>0</v>
      </c>
      <c r="L120" s="191">
        <v>0</v>
      </c>
      <c r="M120" s="191">
        <v>0</v>
      </c>
      <c r="N120" s="191">
        <f>5000</f>
        <v>5000</v>
      </c>
      <c r="O120" s="191">
        <v>0</v>
      </c>
      <c r="P120" s="191">
        <v>0</v>
      </c>
      <c r="Q120" s="188">
        <f>SUM(B120:P120)</f>
        <v>775100</v>
      </c>
    </row>
    <row r="121" spans="1:17" s="185" customFormat="1" ht="21" customHeight="1">
      <c r="A121" s="190" t="s">
        <v>19</v>
      </c>
      <c r="B121" s="194">
        <f aca="true" t="shared" si="14" ref="B121:P121">SUM(B118:B120)</f>
        <v>0</v>
      </c>
      <c r="C121" s="194">
        <f t="shared" si="14"/>
        <v>0</v>
      </c>
      <c r="D121" s="194">
        <f t="shared" si="14"/>
        <v>0</v>
      </c>
      <c r="E121" s="194">
        <f t="shared" si="14"/>
        <v>0</v>
      </c>
      <c r="F121" s="194">
        <f t="shared" si="14"/>
        <v>0</v>
      </c>
      <c r="G121" s="194">
        <f t="shared" si="14"/>
        <v>0</v>
      </c>
      <c r="H121" s="194">
        <f t="shared" si="14"/>
        <v>100000</v>
      </c>
      <c r="I121" s="194">
        <f t="shared" si="14"/>
        <v>0</v>
      </c>
      <c r="J121" s="194">
        <f t="shared" si="14"/>
        <v>1565300</v>
      </c>
      <c r="K121" s="194">
        <f t="shared" si="14"/>
        <v>0</v>
      </c>
      <c r="L121" s="194">
        <f t="shared" si="14"/>
        <v>0</v>
      </c>
      <c r="M121" s="194">
        <f t="shared" si="14"/>
        <v>0</v>
      </c>
      <c r="N121" s="194">
        <f t="shared" si="14"/>
        <v>5000</v>
      </c>
      <c r="O121" s="194">
        <f t="shared" si="14"/>
        <v>0</v>
      </c>
      <c r="P121" s="194">
        <f t="shared" si="14"/>
        <v>0</v>
      </c>
      <c r="Q121" s="188">
        <f>SUM(B121:P121)</f>
        <v>1670300</v>
      </c>
    </row>
    <row r="122" spans="1:17" s="185" customFormat="1" ht="21" customHeight="1">
      <c r="A122" s="193">
        <v>551000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88"/>
    </row>
    <row r="123" spans="1:17" s="185" customFormat="1" ht="21" customHeight="1">
      <c r="A123" s="196">
        <v>510100</v>
      </c>
      <c r="B123" s="187">
        <v>30000</v>
      </c>
      <c r="C123" s="187">
        <v>0</v>
      </c>
      <c r="D123" s="187">
        <v>0</v>
      </c>
      <c r="E123" s="187">
        <f>100000-80000-10000</f>
        <v>10000</v>
      </c>
      <c r="F123" s="187">
        <f>20000+6000-318500+50000+372400+117600+25200+420+147000-75620-6000-138775+6000-6000</f>
        <v>199725</v>
      </c>
      <c r="G123" s="187">
        <v>0</v>
      </c>
      <c r="H123" s="187">
        <v>0</v>
      </c>
      <c r="I123" s="187">
        <v>0</v>
      </c>
      <c r="J123" s="187">
        <v>0</v>
      </c>
      <c r="K123" s="187">
        <f>10000+18000+30000-20000-19995-2600-3750-1360</f>
        <v>10295</v>
      </c>
      <c r="L123" s="187">
        <v>20000</v>
      </c>
      <c r="M123" s="187">
        <v>0</v>
      </c>
      <c r="N123" s="187">
        <f>10000+5000</f>
        <v>15000</v>
      </c>
      <c r="O123" s="187">
        <v>0</v>
      </c>
      <c r="P123" s="187">
        <v>0</v>
      </c>
      <c r="Q123" s="188">
        <f>SUM(B123:P123)</f>
        <v>285020</v>
      </c>
    </row>
    <row r="124" spans="1:17" s="185" customFormat="1" ht="21" customHeight="1">
      <c r="A124" s="190" t="s">
        <v>19</v>
      </c>
      <c r="B124" s="191">
        <f aca="true" t="shared" si="15" ref="B124:P124">SUM(B123)</f>
        <v>30000</v>
      </c>
      <c r="C124" s="191">
        <f t="shared" si="15"/>
        <v>0</v>
      </c>
      <c r="D124" s="191">
        <f t="shared" si="15"/>
        <v>0</v>
      </c>
      <c r="E124" s="191">
        <f t="shared" si="15"/>
        <v>10000</v>
      </c>
      <c r="F124" s="191">
        <f t="shared" si="15"/>
        <v>199725</v>
      </c>
      <c r="G124" s="191">
        <f t="shared" si="15"/>
        <v>0</v>
      </c>
      <c r="H124" s="191">
        <f t="shared" si="15"/>
        <v>0</v>
      </c>
      <c r="I124" s="191">
        <f t="shared" si="15"/>
        <v>0</v>
      </c>
      <c r="J124" s="191">
        <f t="shared" si="15"/>
        <v>0</v>
      </c>
      <c r="K124" s="191">
        <f t="shared" si="15"/>
        <v>10295</v>
      </c>
      <c r="L124" s="191">
        <f t="shared" si="15"/>
        <v>20000</v>
      </c>
      <c r="M124" s="191">
        <f t="shared" si="15"/>
        <v>0</v>
      </c>
      <c r="N124" s="191">
        <f t="shared" si="15"/>
        <v>15000</v>
      </c>
      <c r="O124" s="191">
        <f t="shared" si="15"/>
        <v>0</v>
      </c>
      <c r="P124" s="191">
        <f t="shared" si="15"/>
        <v>0</v>
      </c>
      <c r="Q124" s="188">
        <f>SUM(B124:P124)</f>
        <v>285020</v>
      </c>
    </row>
    <row r="125" spans="1:17" s="185" customFormat="1" ht="21" customHeight="1">
      <c r="A125" s="193">
        <v>561000</v>
      </c>
      <c r="B125" s="191"/>
      <c r="C125" s="195"/>
      <c r="D125" s="194"/>
      <c r="E125" s="194"/>
      <c r="F125" s="195"/>
      <c r="G125" s="194"/>
      <c r="H125" s="191"/>
      <c r="I125" s="194"/>
      <c r="J125" s="194"/>
      <c r="K125" s="188"/>
      <c r="L125" s="194"/>
      <c r="M125" s="194"/>
      <c r="N125" s="188"/>
      <c r="O125" s="188"/>
      <c r="P125" s="194"/>
      <c r="Q125" s="188"/>
    </row>
    <row r="126" spans="1:17" s="185" customFormat="1" ht="21" customHeight="1">
      <c r="A126" s="196">
        <v>610100</v>
      </c>
      <c r="B126" s="187">
        <v>10000</v>
      </c>
      <c r="C126" s="187">
        <v>0</v>
      </c>
      <c r="D126" s="187">
        <v>40000</v>
      </c>
      <c r="E126" s="187">
        <v>0</v>
      </c>
      <c r="F126" s="187">
        <f>628000+372400-314000-372400-314000</f>
        <v>0</v>
      </c>
      <c r="G126" s="187">
        <v>80000</v>
      </c>
      <c r="H126" s="187">
        <v>0</v>
      </c>
      <c r="I126" s="187">
        <v>0</v>
      </c>
      <c r="J126" s="187">
        <v>0</v>
      </c>
      <c r="K126" s="187">
        <f>120000-120000</f>
        <v>0</v>
      </c>
      <c r="L126" s="187">
        <f>5000+50000-40000</f>
        <v>15000</v>
      </c>
      <c r="M126" s="187">
        <f>5000+5000-5000</f>
        <v>5000</v>
      </c>
      <c r="N126" s="208">
        <v>0</v>
      </c>
      <c r="O126" s="208">
        <v>0</v>
      </c>
      <c r="P126" s="187">
        <v>0</v>
      </c>
      <c r="Q126" s="188">
        <f>SUM(B126:P126)</f>
        <v>150000</v>
      </c>
    </row>
    <row r="127" spans="1:17" s="185" customFormat="1" ht="21" customHeight="1">
      <c r="A127" s="190" t="s">
        <v>19</v>
      </c>
      <c r="B127" s="194">
        <f aca="true" t="shared" si="16" ref="B127:P127">SUM(B126)</f>
        <v>10000</v>
      </c>
      <c r="C127" s="194">
        <f t="shared" si="16"/>
        <v>0</v>
      </c>
      <c r="D127" s="194">
        <f t="shared" si="16"/>
        <v>40000</v>
      </c>
      <c r="E127" s="194">
        <f t="shared" si="16"/>
        <v>0</v>
      </c>
      <c r="F127" s="194">
        <f t="shared" si="16"/>
        <v>0</v>
      </c>
      <c r="G127" s="194">
        <f t="shared" si="16"/>
        <v>80000</v>
      </c>
      <c r="H127" s="194">
        <f t="shared" si="16"/>
        <v>0</v>
      </c>
      <c r="I127" s="194">
        <f t="shared" si="16"/>
        <v>0</v>
      </c>
      <c r="J127" s="194">
        <f t="shared" si="16"/>
        <v>0</v>
      </c>
      <c r="K127" s="194">
        <f t="shared" si="16"/>
        <v>0</v>
      </c>
      <c r="L127" s="194">
        <f t="shared" si="16"/>
        <v>15000</v>
      </c>
      <c r="M127" s="194">
        <f t="shared" si="16"/>
        <v>5000</v>
      </c>
      <c r="N127" s="194">
        <f t="shared" si="16"/>
        <v>0</v>
      </c>
      <c r="O127" s="194">
        <f t="shared" si="16"/>
        <v>0</v>
      </c>
      <c r="P127" s="194">
        <f t="shared" si="16"/>
        <v>0</v>
      </c>
      <c r="Q127" s="188">
        <f>SUM(B127:P127)</f>
        <v>150000</v>
      </c>
    </row>
    <row r="128" spans="1:17" s="185" customFormat="1" ht="21" customHeight="1">
      <c r="A128" s="190" t="s">
        <v>73</v>
      </c>
      <c r="B128" s="194">
        <f aca="true" t="shared" si="17" ref="B128:P128">B14+B21+B27+B46+B53+B87+B93+B116+B121+B124+B127</f>
        <v>2053762.98</v>
      </c>
      <c r="C128" s="194">
        <f t="shared" si="17"/>
        <v>740566.55</v>
      </c>
      <c r="D128" s="194">
        <f t="shared" si="17"/>
        <v>54600</v>
      </c>
      <c r="E128" s="194">
        <f t="shared" si="17"/>
        <v>10000</v>
      </c>
      <c r="F128" s="194">
        <f t="shared" si="17"/>
        <v>603684.5</v>
      </c>
      <c r="G128" s="194">
        <f t="shared" si="17"/>
        <v>227100</v>
      </c>
      <c r="H128" s="194">
        <f t="shared" si="17"/>
        <v>105000</v>
      </c>
      <c r="I128" s="194">
        <f t="shared" si="17"/>
        <v>470897</v>
      </c>
      <c r="J128" s="194">
        <f t="shared" si="17"/>
        <v>1585300</v>
      </c>
      <c r="K128" s="194">
        <f t="shared" si="17"/>
        <v>146267.76</v>
      </c>
      <c r="L128" s="194">
        <f t="shared" si="17"/>
        <v>44504</v>
      </c>
      <c r="M128" s="194">
        <f t="shared" si="17"/>
        <v>5000</v>
      </c>
      <c r="N128" s="194">
        <f t="shared" si="17"/>
        <v>129310</v>
      </c>
      <c r="O128" s="194">
        <f t="shared" si="17"/>
        <v>38396.23000000002</v>
      </c>
      <c r="P128" s="194">
        <f t="shared" si="17"/>
        <v>822405.6199999999</v>
      </c>
      <c r="Q128" s="188">
        <f>SUM(B128:P128)</f>
        <v>7036794.640000001</v>
      </c>
    </row>
    <row r="129" spans="1:17" s="185" customFormat="1" ht="21" customHeight="1">
      <c r="A129" s="201"/>
      <c r="B129" s="209"/>
      <c r="C129" s="519" t="s">
        <v>7</v>
      </c>
      <c r="D129" s="519"/>
      <c r="E129" s="519"/>
      <c r="F129" s="205"/>
      <c r="G129" s="205"/>
      <c r="H129" s="209"/>
      <c r="I129" s="209"/>
      <c r="J129" s="514" t="s">
        <v>101</v>
      </c>
      <c r="K129" s="514"/>
      <c r="L129" s="514"/>
      <c r="M129" s="209"/>
      <c r="N129" s="209"/>
      <c r="O129" s="209"/>
      <c r="P129" s="209"/>
      <c r="Q129" s="209"/>
    </row>
    <row r="130" spans="1:17" s="185" customFormat="1" ht="21">
      <c r="A130" s="201"/>
      <c r="B130" s="203"/>
      <c r="C130" s="205"/>
      <c r="D130" s="205"/>
      <c r="E130" s="205"/>
      <c r="F130" s="205"/>
      <c r="G130" s="205"/>
      <c r="H130" s="203"/>
      <c r="I130" s="203"/>
      <c r="J130" s="85"/>
      <c r="K130" s="85"/>
      <c r="L130" s="85"/>
      <c r="M130" s="203"/>
      <c r="N130" s="203"/>
      <c r="O130" s="203"/>
      <c r="P130" s="203"/>
      <c r="Q130" s="203"/>
    </row>
    <row r="131" spans="1:17" s="185" customFormat="1" ht="21" customHeight="1">
      <c r="A131" s="201"/>
      <c r="B131" s="203"/>
      <c r="C131" s="519" t="s">
        <v>121</v>
      </c>
      <c r="D131" s="519"/>
      <c r="E131" s="519"/>
      <c r="F131" s="205"/>
      <c r="G131" s="205"/>
      <c r="H131" s="203"/>
      <c r="I131" s="203"/>
      <c r="J131" s="514" t="s">
        <v>238</v>
      </c>
      <c r="K131" s="514"/>
      <c r="L131" s="514"/>
      <c r="M131" s="203"/>
      <c r="N131" s="203"/>
      <c r="O131" s="203"/>
      <c r="P131" s="203"/>
      <c r="Q131" s="203"/>
    </row>
    <row r="132" spans="1:17" s="210" customFormat="1" ht="21" customHeight="1">
      <c r="A132" s="204"/>
      <c r="B132" s="203"/>
      <c r="C132" s="519" t="s">
        <v>111</v>
      </c>
      <c r="D132" s="519"/>
      <c r="E132" s="519"/>
      <c r="F132" s="205"/>
      <c r="G132" s="205"/>
      <c r="H132" s="203"/>
      <c r="I132" s="203"/>
      <c r="J132" s="514" t="s">
        <v>100</v>
      </c>
      <c r="K132" s="514"/>
      <c r="L132" s="514"/>
      <c r="M132" s="203"/>
      <c r="N132" s="203"/>
      <c r="O132" s="203"/>
      <c r="P132" s="203"/>
      <c r="Q132" s="203"/>
    </row>
  </sheetData>
  <mergeCells count="46">
    <mergeCell ref="J98:L98"/>
    <mergeCell ref="J129:L129"/>
    <mergeCell ref="J131:L131"/>
    <mergeCell ref="J132:L132"/>
    <mergeCell ref="J54:L54"/>
    <mergeCell ref="J57:L57"/>
    <mergeCell ref="J58:L58"/>
    <mergeCell ref="J94:L94"/>
    <mergeCell ref="C132:E132"/>
    <mergeCell ref="C129:E129"/>
    <mergeCell ref="C131:E131"/>
    <mergeCell ref="A105:Q105"/>
    <mergeCell ref="B106:C106"/>
    <mergeCell ref="D106:E106"/>
    <mergeCell ref="I106:J106"/>
    <mergeCell ref="L106:M106"/>
    <mergeCell ref="C98:E98"/>
    <mergeCell ref="A1:Q1"/>
    <mergeCell ref="A2:Q2"/>
    <mergeCell ref="A3:Q3"/>
    <mergeCell ref="I4:J4"/>
    <mergeCell ref="L4:M4"/>
    <mergeCell ref="B4:C4"/>
    <mergeCell ref="D4:E4"/>
    <mergeCell ref="J29:L29"/>
    <mergeCell ref="L36:M36"/>
    <mergeCell ref="I36:J36"/>
    <mergeCell ref="D36:E36"/>
    <mergeCell ref="B36:C36"/>
    <mergeCell ref="C29:E29"/>
    <mergeCell ref="A35:Q35"/>
    <mergeCell ref="C32:E32"/>
    <mergeCell ref="C31:E31"/>
    <mergeCell ref="J32:L32"/>
    <mergeCell ref="J31:L31"/>
    <mergeCell ref="C54:E54"/>
    <mergeCell ref="C57:E57"/>
    <mergeCell ref="C58:E58"/>
    <mergeCell ref="C94:E94"/>
    <mergeCell ref="C97:E97"/>
    <mergeCell ref="A70:Q70"/>
    <mergeCell ref="D71:E71"/>
    <mergeCell ref="B71:C71"/>
    <mergeCell ref="L71:M71"/>
    <mergeCell ref="I71:J71"/>
    <mergeCell ref="J97:L97"/>
  </mergeCells>
  <printOptions horizontalCentered="1"/>
  <pageMargins left="0.07874015748031496" right="0" top="0.3937007874015748" bottom="0" header="0.5118110236220472" footer="0.5118110236220472"/>
  <pageSetup horizontalDpi="180" verticalDpi="18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zoomScale="85" zoomScaleNormal="85" zoomScaleSheetLayoutView="100" workbookViewId="0" topLeftCell="C1">
      <selection activeCell="A2" sqref="A2:Q2"/>
    </sheetView>
  </sheetViews>
  <sheetFormatPr defaultColWidth="9.140625" defaultRowHeight="21.75"/>
  <cols>
    <col min="1" max="1" width="19.00390625" style="0" customWidth="1"/>
    <col min="2" max="2" width="6.140625" style="0" bestFit="1" customWidth="1"/>
    <col min="3" max="3" width="11.57421875" style="0" bestFit="1" customWidth="1"/>
    <col min="4" max="6" width="6.140625" style="0" bestFit="1" customWidth="1"/>
    <col min="7" max="7" width="8.57421875" style="0" customWidth="1"/>
    <col min="8" max="8" width="8.421875" style="0" customWidth="1"/>
    <col min="9" max="10" width="10.57421875" style="0" bestFit="1" customWidth="1"/>
    <col min="11" max="11" width="11.57421875" style="0" bestFit="1" customWidth="1"/>
    <col min="12" max="13" width="10.421875" style="0" bestFit="1" customWidth="1"/>
    <col min="14" max="14" width="10.57421875" style="0" bestFit="1" customWidth="1"/>
    <col min="15" max="15" width="11.57421875" style="0" bestFit="1" customWidth="1"/>
    <col min="16" max="16" width="8.421875" style="0" customWidth="1"/>
    <col min="17" max="17" width="13.00390625" style="0" bestFit="1" customWidth="1"/>
  </cols>
  <sheetData>
    <row r="1" spans="1:17" s="92" customFormat="1" ht="23.25">
      <c r="A1" s="458" t="s">
        <v>14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</row>
    <row r="2" spans="1:17" s="92" customFormat="1" ht="23.25">
      <c r="A2" s="458" t="s">
        <v>106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</row>
    <row r="3" spans="1:17" s="92" customFormat="1" ht="24" thickBot="1">
      <c r="A3" s="533" t="s">
        <v>271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</row>
    <row r="4" spans="1:17" s="363" customFormat="1" ht="21">
      <c r="A4" s="358" t="s">
        <v>16</v>
      </c>
      <c r="B4" s="359" t="s">
        <v>80</v>
      </c>
      <c r="C4" s="530" t="s">
        <v>82</v>
      </c>
      <c r="D4" s="531"/>
      <c r="E4" s="530" t="s">
        <v>85</v>
      </c>
      <c r="F4" s="531"/>
      <c r="G4" s="530" t="s">
        <v>86</v>
      </c>
      <c r="H4" s="531"/>
      <c r="I4" s="530" t="s">
        <v>87</v>
      </c>
      <c r="J4" s="532"/>
      <c r="K4" s="530" t="s">
        <v>91</v>
      </c>
      <c r="L4" s="531"/>
      <c r="M4" s="359" t="s">
        <v>92</v>
      </c>
      <c r="N4" s="360" t="s">
        <v>95</v>
      </c>
      <c r="O4" s="361" t="s">
        <v>96</v>
      </c>
      <c r="P4" s="361" t="s">
        <v>99</v>
      </c>
      <c r="Q4" s="362" t="s">
        <v>17</v>
      </c>
    </row>
    <row r="5" spans="1:17" s="363" customFormat="1" ht="21.75" thickBot="1">
      <c r="A5" s="364" t="s">
        <v>18</v>
      </c>
      <c r="B5" s="365" t="s">
        <v>81</v>
      </c>
      <c r="C5" s="366" t="s">
        <v>83</v>
      </c>
      <c r="D5" s="367" t="s">
        <v>84</v>
      </c>
      <c r="E5" s="365" t="s">
        <v>76</v>
      </c>
      <c r="F5" s="365" t="s">
        <v>77</v>
      </c>
      <c r="G5" s="365" t="s">
        <v>78</v>
      </c>
      <c r="H5" s="365" t="s">
        <v>79</v>
      </c>
      <c r="I5" s="367" t="s">
        <v>88</v>
      </c>
      <c r="J5" s="368" t="s">
        <v>89</v>
      </c>
      <c r="K5" s="366" t="s">
        <v>90</v>
      </c>
      <c r="L5" s="366" t="s">
        <v>109</v>
      </c>
      <c r="M5" s="366" t="s">
        <v>93</v>
      </c>
      <c r="N5" s="369" t="s">
        <v>94</v>
      </c>
      <c r="O5" s="370" t="s">
        <v>97</v>
      </c>
      <c r="P5" s="370" t="s">
        <v>98</v>
      </c>
      <c r="Q5" s="371"/>
    </row>
    <row r="6" spans="1:17" s="92" customFormat="1" ht="18.75" customHeight="1">
      <c r="A6" s="372" t="s">
        <v>256</v>
      </c>
      <c r="B6" s="373"/>
      <c r="C6" s="373"/>
      <c r="D6" s="374"/>
      <c r="E6" s="373"/>
      <c r="F6" s="373"/>
      <c r="G6" s="373"/>
      <c r="H6" s="373"/>
      <c r="I6" s="373"/>
      <c r="J6" s="375"/>
      <c r="K6" s="374"/>
      <c r="L6" s="374"/>
      <c r="M6" s="374"/>
      <c r="N6" s="375"/>
      <c r="O6" s="375"/>
      <c r="P6" s="375"/>
      <c r="Q6" s="375"/>
    </row>
    <row r="7" spans="1:17" s="92" customFormat="1" ht="21">
      <c r="A7" s="376" t="s">
        <v>229</v>
      </c>
      <c r="B7" s="377">
        <v>0</v>
      </c>
      <c r="C7" s="378">
        <v>0</v>
      </c>
      <c r="D7" s="379">
        <v>0</v>
      </c>
      <c r="E7" s="378">
        <v>0</v>
      </c>
      <c r="F7" s="378">
        <v>0</v>
      </c>
      <c r="G7" s="378">
        <v>0</v>
      </c>
      <c r="H7" s="378">
        <v>0</v>
      </c>
      <c r="I7" s="378">
        <v>0</v>
      </c>
      <c r="J7" s="378">
        <v>0</v>
      </c>
      <c r="K7" s="378">
        <v>0</v>
      </c>
      <c r="L7" s="378">
        <v>0</v>
      </c>
      <c r="M7" s="378">
        <v>0</v>
      </c>
      <c r="N7" s="378">
        <v>0</v>
      </c>
      <c r="O7" s="378">
        <v>0</v>
      </c>
      <c r="P7" s="378">
        <v>0</v>
      </c>
      <c r="Q7" s="378">
        <f>SUM(B7:P7)</f>
        <v>0</v>
      </c>
    </row>
    <row r="8" spans="1:17" s="92" customFormat="1" ht="21">
      <c r="A8" s="322" t="s">
        <v>19</v>
      </c>
      <c r="B8" s="377">
        <f aca="true" t="shared" si="0" ref="B8:P8">SUM(B7:B7)</f>
        <v>0</v>
      </c>
      <c r="C8" s="377">
        <f t="shared" si="0"/>
        <v>0</v>
      </c>
      <c r="D8" s="377">
        <f t="shared" si="0"/>
        <v>0</v>
      </c>
      <c r="E8" s="377">
        <f t="shared" si="0"/>
        <v>0</v>
      </c>
      <c r="F8" s="377">
        <f t="shared" si="0"/>
        <v>0</v>
      </c>
      <c r="G8" s="377">
        <f t="shared" si="0"/>
        <v>0</v>
      </c>
      <c r="H8" s="377">
        <f t="shared" si="0"/>
        <v>0</v>
      </c>
      <c r="I8" s="377">
        <f t="shared" si="0"/>
        <v>0</v>
      </c>
      <c r="J8" s="377">
        <f t="shared" si="0"/>
        <v>0</v>
      </c>
      <c r="K8" s="377">
        <f t="shared" si="0"/>
        <v>0</v>
      </c>
      <c r="L8" s="377">
        <f t="shared" si="0"/>
        <v>0</v>
      </c>
      <c r="M8" s="377">
        <f t="shared" si="0"/>
        <v>0</v>
      </c>
      <c r="N8" s="377">
        <f t="shared" si="0"/>
        <v>0</v>
      </c>
      <c r="O8" s="377">
        <f t="shared" si="0"/>
        <v>0</v>
      </c>
      <c r="P8" s="377">
        <f t="shared" si="0"/>
        <v>0</v>
      </c>
      <c r="Q8" s="378">
        <f>SUM(B8:P8)</f>
        <v>0</v>
      </c>
    </row>
    <row r="9" spans="1:17" s="383" customFormat="1" ht="21">
      <c r="A9" s="380" t="s">
        <v>20</v>
      </c>
      <c r="B9" s="381">
        <v>0</v>
      </c>
      <c r="C9" s="381">
        <f>0</f>
        <v>0</v>
      </c>
      <c r="D9" s="381">
        <f>0</f>
        <v>0</v>
      </c>
      <c r="E9" s="381">
        <f>0</f>
        <v>0</v>
      </c>
      <c r="F9" s="381">
        <f>0</f>
        <v>0</v>
      </c>
      <c r="G9" s="381">
        <f>0</f>
        <v>0</v>
      </c>
      <c r="H9" s="381">
        <f>0</f>
        <v>0</v>
      </c>
      <c r="I9" s="381">
        <f>0</f>
        <v>0</v>
      </c>
      <c r="J9" s="381">
        <f>0</f>
        <v>0</v>
      </c>
      <c r="K9" s="381">
        <f>0</f>
        <v>0</v>
      </c>
      <c r="L9" s="381">
        <f>0</f>
        <v>0</v>
      </c>
      <c r="M9" s="381">
        <f>0</f>
        <v>0</v>
      </c>
      <c r="N9" s="381">
        <f>0</f>
        <v>0</v>
      </c>
      <c r="O9" s="381">
        <f>0</f>
        <v>0</v>
      </c>
      <c r="P9" s="381">
        <f>0</f>
        <v>0</v>
      </c>
      <c r="Q9" s="382">
        <f>SUM(B9:P9)</f>
        <v>0</v>
      </c>
    </row>
    <row r="10" spans="1:17" s="92" customFormat="1" ht="20.25" customHeight="1">
      <c r="A10" s="384" t="s">
        <v>257</v>
      </c>
      <c r="B10" s="377"/>
      <c r="C10" s="378"/>
      <c r="D10" s="379"/>
      <c r="E10" s="378"/>
      <c r="F10" s="378"/>
      <c r="G10" s="378"/>
      <c r="H10" s="378"/>
      <c r="I10" s="378"/>
      <c r="J10" s="378"/>
      <c r="K10" s="379"/>
      <c r="L10" s="379"/>
      <c r="M10" s="379"/>
      <c r="N10" s="378"/>
      <c r="O10" s="378"/>
      <c r="P10" s="378"/>
      <c r="Q10" s="378"/>
    </row>
    <row r="11" spans="1:17" s="92" customFormat="1" ht="21">
      <c r="A11" s="322">
        <v>210100</v>
      </c>
      <c r="B11" s="377">
        <v>0</v>
      </c>
      <c r="C11" s="377">
        <v>0</v>
      </c>
      <c r="D11" s="377">
        <v>0</v>
      </c>
      <c r="E11" s="377">
        <v>0</v>
      </c>
      <c r="F11" s="377">
        <v>0</v>
      </c>
      <c r="G11" s="377">
        <v>0</v>
      </c>
      <c r="H11" s="377">
        <v>0</v>
      </c>
      <c r="I11" s="377">
        <v>0</v>
      </c>
      <c r="J11" s="377">
        <v>0</v>
      </c>
      <c r="K11" s="377">
        <v>0</v>
      </c>
      <c r="L11" s="377">
        <v>0</v>
      </c>
      <c r="M11" s="377">
        <v>0</v>
      </c>
      <c r="N11" s="377">
        <v>0</v>
      </c>
      <c r="O11" s="377">
        <v>0</v>
      </c>
      <c r="P11" s="377">
        <v>0</v>
      </c>
      <c r="Q11" s="378">
        <f>SUM(B11:P11)</f>
        <v>0</v>
      </c>
    </row>
    <row r="12" spans="1:17" s="92" customFormat="1" ht="21">
      <c r="A12" s="322" t="s">
        <v>19</v>
      </c>
      <c r="B12" s="377">
        <f aca="true" t="shared" si="1" ref="B12:P12">SUM(B11:B11)</f>
        <v>0</v>
      </c>
      <c r="C12" s="377">
        <f t="shared" si="1"/>
        <v>0</v>
      </c>
      <c r="D12" s="377">
        <f t="shared" si="1"/>
        <v>0</v>
      </c>
      <c r="E12" s="377">
        <f t="shared" si="1"/>
        <v>0</v>
      </c>
      <c r="F12" s="377">
        <f t="shared" si="1"/>
        <v>0</v>
      </c>
      <c r="G12" s="377">
        <f t="shared" si="1"/>
        <v>0</v>
      </c>
      <c r="H12" s="377">
        <f t="shared" si="1"/>
        <v>0</v>
      </c>
      <c r="I12" s="377">
        <f t="shared" si="1"/>
        <v>0</v>
      </c>
      <c r="J12" s="377">
        <f t="shared" si="1"/>
        <v>0</v>
      </c>
      <c r="K12" s="377">
        <f t="shared" si="1"/>
        <v>0</v>
      </c>
      <c r="L12" s="377">
        <f t="shared" si="1"/>
        <v>0</v>
      </c>
      <c r="M12" s="377">
        <f t="shared" si="1"/>
        <v>0</v>
      </c>
      <c r="N12" s="377">
        <f t="shared" si="1"/>
        <v>0</v>
      </c>
      <c r="O12" s="377">
        <f t="shared" si="1"/>
        <v>0</v>
      </c>
      <c r="P12" s="377">
        <f t="shared" si="1"/>
        <v>0</v>
      </c>
      <c r="Q12" s="378">
        <f>SUM(B12:P12)</f>
        <v>0</v>
      </c>
    </row>
    <row r="13" spans="1:17" s="383" customFormat="1" ht="21">
      <c r="A13" s="380" t="s">
        <v>20</v>
      </c>
      <c r="B13" s="381">
        <f>0</f>
        <v>0</v>
      </c>
      <c r="C13" s="381">
        <v>0</v>
      </c>
      <c r="D13" s="381">
        <v>0</v>
      </c>
      <c r="E13" s="381">
        <f>0</f>
        <v>0</v>
      </c>
      <c r="F13" s="381">
        <f>0</f>
        <v>0</v>
      </c>
      <c r="G13" s="381">
        <v>0</v>
      </c>
      <c r="H13" s="381">
        <f>0</f>
        <v>0</v>
      </c>
      <c r="I13" s="381">
        <f>0</f>
        <v>0</v>
      </c>
      <c r="J13" s="381">
        <f>0</f>
        <v>0</v>
      </c>
      <c r="K13" s="381">
        <f>0</f>
        <v>0</v>
      </c>
      <c r="L13" s="381">
        <f>0</f>
        <v>0</v>
      </c>
      <c r="M13" s="381">
        <f>0</f>
        <v>0</v>
      </c>
      <c r="N13" s="381">
        <f>0</f>
        <v>0</v>
      </c>
      <c r="O13" s="381">
        <f>0</f>
        <v>0</v>
      </c>
      <c r="P13" s="381">
        <f>0</f>
        <v>0</v>
      </c>
      <c r="Q13" s="382">
        <f>SUM(B13:P13)</f>
        <v>0</v>
      </c>
    </row>
    <row r="14" spans="1:17" s="92" customFormat="1" ht="20.25" customHeight="1">
      <c r="A14" s="384" t="s">
        <v>258</v>
      </c>
      <c r="B14" s="377"/>
      <c r="C14" s="377"/>
      <c r="D14" s="385"/>
      <c r="E14" s="378"/>
      <c r="F14" s="378"/>
      <c r="G14" s="378"/>
      <c r="H14" s="377"/>
      <c r="I14" s="378"/>
      <c r="J14" s="378"/>
      <c r="K14" s="379"/>
      <c r="L14" s="379"/>
      <c r="M14" s="379"/>
      <c r="N14" s="378"/>
      <c r="O14" s="378"/>
      <c r="P14" s="378"/>
      <c r="Q14" s="378"/>
    </row>
    <row r="15" spans="1:17" s="92" customFormat="1" ht="21">
      <c r="A15" s="322">
        <v>220100</v>
      </c>
      <c r="B15" s="377">
        <v>0</v>
      </c>
      <c r="C15" s="377">
        <v>0</v>
      </c>
      <c r="D15" s="377">
        <v>0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  <c r="N15" s="377">
        <v>0</v>
      </c>
      <c r="O15" s="377">
        <v>0</v>
      </c>
      <c r="P15" s="377">
        <v>0</v>
      </c>
      <c r="Q15" s="378">
        <f>SUM(B15:P15)</f>
        <v>0</v>
      </c>
    </row>
    <row r="16" spans="1:17" s="92" customFormat="1" ht="21">
      <c r="A16" s="322" t="s">
        <v>19</v>
      </c>
      <c r="B16" s="377">
        <f aca="true" t="shared" si="2" ref="B16:P16">B15</f>
        <v>0</v>
      </c>
      <c r="C16" s="377">
        <f t="shared" si="2"/>
        <v>0</v>
      </c>
      <c r="D16" s="377">
        <f t="shared" si="2"/>
        <v>0</v>
      </c>
      <c r="E16" s="377">
        <f t="shared" si="2"/>
        <v>0</v>
      </c>
      <c r="F16" s="377">
        <f t="shared" si="2"/>
        <v>0</v>
      </c>
      <c r="G16" s="377">
        <f t="shared" si="2"/>
        <v>0</v>
      </c>
      <c r="H16" s="377">
        <f t="shared" si="2"/>
        <v>0</v>
      </c>
      <c r="I16" s="377">
        <f t="shared" si="2"/>
        <v>0</v>
      </c>
      <c r="J16" s="377">
        <f t="shared" si="2"/>
        <v>0</v>
      </c>
      <c r="K16" s="377">
        <f t="shared" si="2"/>
        <v>0</v>
      </c>
      <c r="L16" s="377">
        <f t="shared" si="2"/>
        <v>0</v>
      </c>
      <c r="M16" s="377">
        <f t="shared" si="2"/>
        <v>0</v>
      </c>
      <c r="N16" s="377">
        <f t="shared" si="2"/>
        <v>0</v>
      </c>
      <c r="O16" s="377">
        <f t="shared" si="2"/>
        <v>0</v>
      </c>
      <c r="P16" s="377">
        <f t="shared" si="2"/>
        <v>0</v>
      </c>
      <c r="Q16" s="378">
        <f>SUM(B16:P16)</f>
        <v>0</v>
      </c>
    </row>
    <row r="17" spans="1:17" s="383" customFormat="1" ht="21">
      <c r="A17" s="380" t="s">
        <v>20</v>
      </c>
      <c r="B17" s="381">
        <f>0</f>
        <v>0</v>
      </c>
      <c r="C17" s="381">
        <v>0</v>
      </c>
      <c r="D17" s="381">
        <v>0</v>
      </c>
      <c r="E17" s="381">
        <f>0</f>
        <v>0</v>
      </c>
      <c r="F17" s="381">
        <f>0</f>
        <v>0</v>
      </c>
      <c r="G17" s="381">
        <f>0</f>
        <v>0</v>
      </c>
      <c r="H17" s="381">
        <f>0</f>
        <v>0</v>
      </c>
      <c r="I17" s="381">
        <f>0</f>
        <v>0</v>
      </c>
      <c r="J17" s="386">
        <f>0</f>
        <v>0</v>
      </c>
      <c r="K17" s="381">
        <f>0</f>
        <v>0</v>
      </c>
      <c r="L17" s="381">
        <f>0</f>
        <v>0</v>
      </c>
      <c r="M17" s="381">
        <f>0</f>
        <v>0</v>
      </c>
      <c r="N17" s="381">
        <f>0</f>
        <v>0</v>
      </c>
      <c r="O17" s="381">
        <f>0</f>
        <v>0</v>
      </c>
      <c r="P17" s="381">
        <f>0</f>
        <v>0</v>
      </c>
      <c r="Q17" s="382">
        <f>SUM(B17:P17)</f>
        <v>0</v>
      </c>
    </row>
    <row r="18" spans="1:17" s="92" customFormat="1" ht="20.25" customHeight="1">
      <c r="A18" s="235" t="s">
        <v>259</v>
      </c>
      <c r="B18" s="387"/>
      <c r="C18" s="387"/>
      <c r="D18" s="388"/>
      <c r="E18" s="373"/>
      <c r="F18" s="373"/>
      <c r="G18" s="373"/>
      <c r="H18" s="387"/>
      <c r="I18" s="373"/>
      <c r="J18" s="378"/>
      <c r="K18" s="374"/>
      <c r="L18" s="374"/>
      <c r="M18" s="374"/>
      <c r="N18" s="373"/>
      <c r="O18" s="378"/>
      <c r="P18" s="378"/>
      <c r="Q18" s="378"/>
    </row>
    <row r="19" spans="1:17" s="92" customFormat="1" ht="21">
      <c r="A19" s="322">
        <v>310300</v>
      </c>
      <c r="B19" s="377">
        <v>0</v>
      </c>
      <c r="C19" s="377">
        <v>0</v>
      </c>
      <c r="D19" s="377">
        <v>0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  <c r="N19" s="377">
        <v>0</v>
      </c>
      <c r="O19" s="377">
        <v>0</v>
      </c>
      <c r="P19" s="377">
        <v>0</v>
      </c>
      <c r="Q19" s="378">
        <f>SUM(B19:P19)</f>
        <v>0</v>
      </c>
    </row>
    <row r="20" spans="1:17" s="92" customFormat="1" ht="21">
      <c r="A20" s="322" t="s">
        <v>19</v>
      </c>
      <c r="B20" s="377">
        <f aca="true" t="shared" si="3" ref="B20:P20">SUM(B19:B19)</f>
        <v>0</v>
      </c>
      <c r="C20" s="377">
        <f t="shared" si="3"/>
        <v>0</v>
      </c>
      <c r="D20" s="377">
        <f t="shared" si="3"/>
        <v>0</v>
      </c>
      <c r="E20" s="377">
        <f t="shared" si="3"/>
        <v>0</v>
      </c>
      <c r="F20" s="377">
        <f t="shared" si="3"/>
        <v>0</v>
      </c>
      <c r="G20" s="377">
        <f t="shared" si="3"/>
        <v>0</v>
      </c>
      <c r="H20" s="377">
        <f t="shared" si="3"/>
        <v>0</v>
      </c>
      <c r="I20" s="377">
        <f t="shared" si="3"/>
        <v>0</v>
      </c>
      <c r="J20" s="377">
        <f t="shared" si="3"/>
        <v>0</v>
      </c>
      <c r="K20" s="377">
        <f t="shared" si="3"/>
        <v>0</v>
      </c>
      <c r="L20" s="377">
        <f t="shared" si="3"/>
        <v>0</v>
      </c>
      <c r="M20" s="377">
        <f t="shared" si="3"/>
        <v>0</v>
      </c>
      <c r="N20" s="377">
        <f t="shared" si="3"/>
        <v>0</v>
      </c>
      <c r="O20" s="377">
        <f t="shared" si="3"/>
        <v>0</v>
      </c>
      <c r="P20" s="377">
        <f t="shared" si="3"/>
        <v>0</v>
      </c>
      <c r="Q20" s="378">
        <f>SUM(B20:P20)</f>
        <v>0</v>
      </c>
    </row>
    <row r="21" spans="1:17" s="383" customFormat="1" ht="21">
      <c r="A21" s="380" t="s">
        <v>20</v>
      </c>
      <c r="B21" s="381">
        <f>0</f>
        <v>0</v>
      </c>
      <c r="C21" s="381">
        <v>0</v>
      </c>
      <c r="D21" s="381">
        <v>0</v>
      </c>
      <c r="E21" s="381">
        <f>0</f>
        <v>0</v>
      </c>
      <c r="F21" s="381">
        <f>0</f>
        <v>0</v>
      </c>
      <c r="G21" s="381">
        <v>0</v>
      </c>
      <c r="H21" s="381">
        <f>0</f>
        <v>0</v>
      </c>
      <c r="I21" s="381">
        <f>0</f>
        <v>0</v>
      </c>
      <c r="J21" s="381">
        <f>0</f>
        <v>0</v>
      </c>
      <c r="K21" s="381">
        <f>0</f>
        <v>0</v>
      </c>
      <c r="L21" s="381">
        <v>0</v>
      </c>
      <c r="M21" s="381">
        <f>0</f>
        <v>0</v>
      </c>
      <c r="N21" s="381">
        <f>0</f>
        <v>0</v>
      </c>
      <c r="O21" s="381">
        <f>0</f>
        <v>0</v>
      </c>
      <c r="P21" s="381">
        <f>0</f>
        <v>0</v>
      </c>
      <c r="Q21" s="382">
        <f>SUM(B21:P21)</f>
        <v>0</v>
      </c>
    </row>
    <row r="22" spans="1:17" s="92" customFormat="1" ht="20.25" customHeight="1">
      <c r="A22" s="384" t="s">
        <v>260</v>
      </c>
      <c r="B22" s="377"/>
      <c r="C22" s="377"/>
      <c r="D22" s="385"/>
      <c r="E22" s="378"/>
      <c r="F22" s="378"/>
      <c r="G22" s="378"/>
      <c r="H22" s="377"/>
      <c r="I22" s="378"/>
      <c r="J22" s="378"/>
      <c r="K22" s="379"/>
      <c r="L22" s="379"/>
      <c r="M22" s="379"/>
      <c r="N22" s="377"/>
      <c r="O22" s="378"/>
      <c r="P22" s="378"/>
      <c r="Q22" s="378"/>
    </row>
    <row r="23" spans="1:17" s="92" customFormat="1" ht="21">
      <c r="A23" s="322">
        <v>320100</v>
      </c>
      <c r="B23" s="377">
        <v>0</v>
      </c>
      <c r="C23" s="377">
        <v>0</v>
      </c>
      <c r="D23" s="377">
        <v>0</v>
      </c>
      <c r="E23" s="377">
        <v>0</v>
      </c>
      <c r="F23" s="377">
        <v>0</v>
      </c>
      <c r="G23" s="377">
        <v>0</v>
      </c>
      <c r="H23" s="377">
        <v>0</v>
      </c>
      <c r="I23" s="377">
        <v>0</v>
      </c>
      <c r="J23" s="377">
        <v>0</v>
      </c>
      <c r="K23" s="377">
        <v>0</v>
      </c>
      <c r="L23" s="377">
        <v>0</v>
      </c>
      <c r="M23" s="377">
        <v>0</v>
      </c>
      <c r="N23" s="377">
        <v>0</v>
      </c>
      <c r="O23" s="377">
        <v>0</v>
      </c>
      <c r="P23" s="377">
        <v>0</v>
      </c>
      <c r="Q23" s="378">
        <f>SUM(B23:P23)</f>
        <v>0</v>
      </c>
    </row>
    <row r="24" spans="1:17" s="92" customFormat="1" ht="21">
      <c r="A24" s="322" t="s">
        <v>19</v>
      </c>
      <c r="B24" s="377">
        <f aca="true" t="shared" si="4" ref="B24:P24">SUM(B23:B23)</f>
        <v>0</v>
      </c>
      <c r="C24" s="377">
        <f t="shared" si="4"/>
        <v>0</v>
      </c>
      <c r="D24" s="377">
        <f t="shared" si="4"/>
        <v>0</v>
      </c>
      <c r="E24" s="377">
        <f t="shared" si="4"/>
        <v>0</v>
      </c>
      <c r="F24" s="377">
        <f t="shared" si="4"/>
        <v>0</v>
      </c>
      <c r="G24" s="377">
        <f t="shared" si="4"/>
        <v>0</v>
      </c>
      <c r="H24" s="377">
        <f t="shared" si="4"/>
        <v>0</v>
      </c>
      <c r="I24" s="377">
        <f t="shared" si="4"/>
        <v>0</v>
      </c>
      <c r="J24" s="377">
        <f t="shared" si="4"/>
        <v>0</v>
      </c>
      <c r="K24" s="377">
        <f t="shared" si="4"/>
        <v>0</v>
      </c>
      <c r="L24" s="377">
        <f t="shared" si="4"/>
        <v>0</v>
      </c>
      <c r="M24" s="377">
        <f t="shared" si="4"/>
        <v>0</v>
      </c>
      <c r="N24" s="377">
        <f t="shared" si="4"/>
        <v>0</v>
      </c>
      <c r="O24" s="377">
        <f t="shared" si="4"/>
        <v>0</v>
      </c>
      <c r="P24" s="377">
        <f t="shared" si="4"/>
        <v>0</v>
      </c>
      <c r="Q24" s="378">
        <f>SUM(B24:P24)</f>
        <v>0</v>
      </c>
    </row>
    <row r="25" spans="1:17" s="383" customFormat="1" ht="21">
      <c r="A25" s="389" t="s">
        <v>20</v>
      </c>
      <c r="B25" s="381">
        <f>0</f>
        <v>0</v>
      </c>
      <c r="C25" s="381">
        <v>0</v>
      </c>
      <c r="D25" s="381">
        <f>0</f>
        <v>0</v>
      </c>
      <c r="E25" s="381">
        <f>0</f>
        <v>0</v>
      </c>
      <c r="F25" s="381">
        <f>0</f>
        <v>0</v>
      </c>
      <c r="G25" s="381">
        <v>0</v>
      </c>
      <c r="H25" s="381">
        <f>0</f>
        <v>0</v>
      </c>
      <c r="I25" s="381">
        <f>0</f>
        <v>0</v>
      </c>
      <c r="J25" s="381">
        <f>0</f>
        <v>0</v>
      </c>
      <c r="K25" s="381">
        <f>0</f>
        <v>0</v>
      </c>
      <c r="L25" s="381">
        <v>0</v>
      </c>
      <c r="M25" s="381">
        <f>0</f>
        <v>0</v>
      </c>
      <c r="N25" s="381">
        <f>0</f>
        <v>0</v>
      </c>
      <c r="O25" s="381">
        <f>0</f>
        <v>0</v>
      </c>
      <c r="P25" s="381">
        <f>0</f>
        <v>0</v>
      </c>
      <c r="Q25" s="382">
        <f>SUM(B25:P25)</f>
        <v>0</v>
      </c>
    </row>
    <row r="26" spans="1:17" s="92" customFormat="1" ht="18" customHeight="1">
      <c r="A26" s="384" t="s">
        <v>261</v>
      </c>
      <c r="B26" s="387"/>
      <c r="C26" s="377"/>
      <c r="D26" s="388"/>
      <c r="E26" s="373"/>
      <c r="F26" s="377"/>
      <c r="G26" s="377"/>
      <c r="H26" s="377"/>
      <c r="I26" s="390"/>
      <c r="J26" s="387"/>
      <c r="K26" s="385"/>
      <c r="L26" s="388"/>
      <c r="M26" s="374"/>
      <c r="N26" s="377"/>
      <c r="O26" s="378"/>
      <c r="P26" s="378"/>
      <c r="Q26" s="378"/>
    </row>
    <row r="27" spans="1:17" s="92" customFormat="1" ht="21">
      <c r="A27" s="322">
        <v>331700</v>
      </c>
      <c r="B27" s="377">
        <v>0</v>
      </c>
      <c r="C27" s="377">
        <v>0</v>
      </c>
      <c r="D27" s="377">
        <v>0</v>
      </c>
      <c r="E27" s="377">
        <v>0</v>
      </c>
      <c r="F27" s="377">
        <v>0</v>
      </c>
      <c r="G27" s="377">
        <v>0</v>
      </c>
      <c r="H27" s="377">
        <v>0</v>
      </c>
      <c r="I27" s="377">
        <v>0</v>
      </c>
      <c r="J27" s="377">
        <v>0</v>
      </c>
      <c r="K27" s="377">
        <v>0</v>
      </c>
      <c r="L27" s="377">
        <v>0</v>
      </c>
      <c r="M27" s="377">
        <v>0</v>
      </c>
      <c r="N27" s="377">
        <v>0</v>
      </c>
      <c r="O27" s="377">
        <v>0</v>
      </c>
      <c r="P27" s="377">
        <v>0</v>
      </c>
      <c r="Q27" s="378">
        <f>SUM(B27:P27)</f>
        <v>0</v>
      </c>
    </row>
    <row r="28" spans="1:17" s="92" customFormat="1" ht="21">
      <c r="A28" s="322" t="s">
        <v>19</v>
      </c>
      <c r="B28" s="377">
        <f aca="true" t="shared" si="5" ref="B28:P28">SUM(B27:B27)</f>
        <v>0</v>
      </c>
      <c r="C28" s="377">
        <f t="shared" si="5"/>
        <v>0</v>
      </c>
      <c r="D28" s="377">
        <f t="shared" si="5"/>
        <v>0</v>
      </c>
      <c r="E28" s="377">
        <f t="shared" si="5"/>
        <v>0</v>
      </c>
      <c r="F28" s="377">
        <f t="shared" si="5"/>
        <v>0</v>
      </c>
      <c r="G28" s="377">
        <f t="shared" si="5"/>
        <v>0</v>
      </c>
      <c r="H28" s="377">
        <f t="shared" si="5"/>
        <v>0</v>
      </c>
      <c r="I28" s="377">
        <f t="shared" si="5"/>
        <v>0</v>
      </c>
      <c r="J28" s="377">
        <f t="shared" si="5"/>
        <v>0</v>
      </c>
      <c r="K28" s="377">
        <f t="shared" si="5"/>
        <v>0</v>
      </c>
      <c r="L28" s="377">
        <f t="shared" si="5"/>
        <v>0</v>
      </c>
      <c r="M28" s="377">
        <f t="shared" si="5"/>
        <v>0</v>
      </c>
      <c r="N28" s="377">
        <f t="shared" si="5"/>
        <v>0</v>
      </c>
      <c r="O28" s="377">
        <f t="shared" si="5"/>
        <v>0</v>
      </c>
      <c r="P28" s="377">
        <f t="shared" si="5"/>
        <v>0</v>
      </c>
      <c r="Q28" s="378">
        <f>SUM(B28:P28)</f>
        <v>0</v>
      </c>
    </row>
    <row r="29" spans="1:17" s="383" customFormat="1" ht="21">
      <c r="A29" s="380" t="s">
        <v>20</v>
      </c>
      <c r="B29" s="381">
        <f>0</f>
        <v>0</v>
      </c>
      <c r="C29" s="381">
        <v>0</v>
      </c>
      <c r="D29" s="381">
        <v>0</v>
      </c>
      <c r="E29" s="381">
        <f>0</f>
        <v>0</v>
      </c>
      <c r="F29" s="381">
        <f>0</f>
        <v>0</v>
      </c>
      <c r="G29" s="381">
        <v>0</v>
      </c>
      <c r="H29" s="381">
        <f>0</f>
        <v>0</v>
      </c>
      <c r="I29" s="381">
        <f>0</f>
        <v>0</v>
      </c>
      <c r="J29" s="381">
        <f>0</f>
        <v>0</v>
      </c>
      <c r="K29" s="381">
        <v>0</v>
      </c>
      <c r="L29" s="381">
        <v>0</v>
      </c>
      <c r="M29" s="381">
        <f>0</f>
        <v>0</v>
      </c>
      <c r="N29" s="381">
        <f>0</f>
        <v>0</v>
      </c>
      <c r="O29" s="381">
        <f>0</f>
        <v>0</v>
      </c>
      <c r="P29" s="381">
        <f>0</f>
        <v>0</v>
      </c>
      <c r="Q29" s="382">
        <f>SUM(B29:P29)</f>
        <v>0</v>
      </c>
    </row>
    <row r="30" spans="1:17" s="383" customFormat="1" ht="21">
      <c r="A30" s="391"/>
      <c r="B30" s="392"/>
      <c r="C30" s="392"/>
      <c r="D30" s="528" t="s">
        <v>7</v>
      </c>
      <c r="E30" s="528"/>
      <c r="F30" s="528"/>
      <c r="G30" s="528"/>
      <c r="H30" s="393"/>
      <c r="I30" s="393"/>
      <c r="J30" s="393"/>
      <c r="K30" s="528" t="s">
        <v>101</v>
      </c>
      <c r="L30" s="528"/>
      <c r="M30" s="528"/>
      <c r="N30" s="392"/>
      <c r="O30" s="392"/>
      <c r="P30" s="392"/>
      <c r="Q30" s="394"/>
    </row>
    <row r="31" spans="1:17" s="383" customFormat="1" ht="21">
      <c r="A31" s="331"/>
      <c r="B31" s="395"/>
      <c r="C31" s="395"/>
      <c r="D31" s="396"/>
      <c r="E31" s="396"/>
      <c r="F31" s="396"/>
      <c r="G31" s="396"/>
      <c r="H31" s="393"/>
      <c r="I31" s="393"/>
      <c r="J31" s="393"/>
      <c r="K31" s="396"/>
      <c r="L31" s="396"/>
      <c r="M31" s="396"/>
      <c r="N31" s="395"/>
      <c r="O31" s="395"/>
      <c r="P31" s="395"/>
      <c r="Q31" s="397"/>
    </row>
    <row r="32" spans="1:17" s="383" customFormat="1" ht="21">
      <c r="A32" s="391"/>
      <c r="B32" s="392"/>
      <c r="C32" s="392"/>
      <c r="D32" s="529" t="s">
        <v>121</v>
      </c>
      <c r="E32" s="529"/>
      <c r="F32" s="529"/>
      <c r="G32" s="529"/>
      <c r="H32" s="393"/>
      <c r="I32" s="393"/>
      <c r="J32" s="393"/>
      <c r="K32" s="529" t="s">
        <v>102</v>
      </c>
      <c r="L32" s="529"/>
      <c r="M32" s="529"/>
      <c r="N32" s="392"/>
      <c r="O32" s="392"/>
      <c r="P32" s="392"/>
      <c r="Q32" s="394"/>
    </row>
    <row r="33" spans="1:17" s="383" customFormat="1" ht="21">
      <c r="A33" s="391"/>
      <c r="B33" s="392"/>
      <c r="C33" s="392"/>
      <c r="D33" s="529" t="s">
        <v>111</v>
      </c>
      <c r="E33" s="529"/>
      <c r="F33" s="529"/>
      <c r="G33" s="529"/>
      <c r="H33" s="393"/>
      <c r="I33" s="393"/>
      <c r="J33" s="393"/>
      <c r="K33" s="529" t="s">
        <v>100</v>
      </c>
      <c r="L33" s="529"/>
      <c r="M33" s="529"/>
      <c r="N33" s="392"/>
      <c r="O33" s="392"/>
      <c r="P33" s="392"/>
      <c r="Q33" s="394"/>
    </row>
    <row r="34" spans="1:17" s="92" customFormat="1" ht="21.75" thickBot="1">
      <c r="A34" s="534" t="s">
        <v>21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</row>
    <row r="35" spans="1:17" s="363" customFormat="1" ht="21">
      <c r="A35" s="358" t="s">
        <v>16</v>
      </c>
      <c r="B35" s="359" t="s">
        <v>80</v>
      </c>
      <c r="C35" s="530" t="s">
        <v>82</v>
      </c>
      <c r="D35" s="531"/>
      <c r="E35" s="530" t="s">
        <v>85</v>
      </c>
      <c r="F35" s="531"/>
      <c r="G35" s="530" t="s">
        <v>86</v>
      </c>
      <c r="H35" s="531"/>
      <c r="I35" s="530" t="s">
        <v>87</v>
      </c>
      <c r="J35" s="532"/>
      <c r="K35" s="530" t="s">
        <v>91</v>
      </c>
      <c r="L35" s="531"/>
      <c r="M35" s="359" t="s">
        <v>92</v>
      </c>
      <c r="N35" s="360" t="s">
        <v>95</v>
      </c>
      <c r="O35" s="361" t="s">
        <v>96</v>
      </c>
      <c r="P35" s="361" t="s">
        <v>99</v>
      </c>
      <c r="Q35" s="362" t="s">
        <v>17</v>
      </c>
    </row>
    <row r="36" spans="1:17" s="363" customFormat="1" ht="21.75" thickBot="1">
      <c r="A36" s="364" t="s">
        <v>18</v>
      </c>
      <c r="B36" s="365" t="s">
        <v>81</v>
      </c>
      <c r="C36" s="366" t="s">
        <v>83</v>
      </c>
      <c r="D36" s="367" t="s">
        <v>84</v>
      </c>
      <c r="E36" s="365" t="s">
        <v>76</v>
      </c>
      <c r="F36" s="365" t="s">
        <v>77</v>
      </c>
      <c r="G36" s="365" t="s">
        <v>78</v>
      </c>
      <c r="H36" s="365" t="s">
        <v>79</v>
      </c>
      <c r="I36" s="367" t="s">
        <v>88</v>
      </c>
      <c r="J36" s="368" t="s">
        <v>89</v>
      </c>
      <c r="K36" s="366" t="s">
        <v>110</v>
      </c>
      <c r="L36" s="366" t="s">
        <v>109</v>
      </c>
      <c r="M36" s="366" t="s">
        <v>93</v>
      </c>
      <c r="N36" s="369" t="s">
        <v>94</v>
      </c>
      <c r="O36" s="370" t="s">
        <v>97</v>
      </c>
      <c r="P36" s="370" t="s">
        <v>98</v>
      </c>
      <c r="Q36" s="371"/>
    </row>
    <row r="37" spans="1:17" s="92" customFormat="1" ht="21">
      <c r="A37" s="384" t="s">
        <v>273</v>
      </c>
      <c r="B37" s="378"/>
      <c r="C37" s="377"/>
      <c r="D37" s="379"/>
      <c r="E37" s="378"/>
      <c r="F37" s="378"/>
      <c r="G37" s="378"/>
      <c r="H37" s="378"/>
      <c r="I37" s="378"/>
      <c r="J37" s="378"/>
      <c r="K37" s="379"/>
      <c r="L37" s="379"/>
      <c r="M37" s="378"/>
      <c r="N37" s="377"/>
      <c r="O37" s="378"/>
      <c r="P37" s="378"/>
      <c r="Q37" s="378"/>
    </row>
    <row r="38" spans="1:17" s="92" customFormat="1" ht="21">
      <c r="A38" s="322">
        <v>340100</v>
      </c>
      <c r="B38" s="377">
        <v>0</v>
      </c>
      <c r="C38" s="377">
        <v>0</v>
      </c>
      <c r="D38" s="377">
        <v>0</v>
      </c>
      <c r="E38" s="377">
        <v>0</v>
      </c>
      <c r="F38" s="377">
        <v>0</v>
      </c>
      <c r="G38" s="377">
        <v>0</v>
      </c>
      <c r="H38" s="377">
        <v>0</v>
      </c>
      <c r="I38" s="377">
        <v>0</v>
      </c>
      <c r="J38" s="377">
        <v>0</v>
      </c>
      <c r="K38" s="377">
        <v>0</v>
      </c>
      <c r="L38" s="377">
        <v>0</v>
      </c>
      <c r="M38" s="377">
        <v>0</v>
      </c>
      <c r="N38" s="377">
        <v>0</v>
      </c>
      <c r="O38" s="377">
        <v>0</v>
      </c>
      <c r="P38" s="377">
        <v>0</v>
      </c>
      <c r="Q38" s="378">
        <f>SUM(B38:P38)</f>
        <v>0</v>
      </c>
    </row>
    <row r="39" spans="1:17" s="92" customFormat="1" ht="21">
      <c r="A39" s="322" t="s">
        <v>19</v>
      </c>
      <c r="B39" s="378">
        <f aca="true" t="shared" si="6" ref="B39:K39">SUM(B38:B38)</f>
        <v>0</v>
      </c>
      <c r="C39" s="378">
        <f t="shared" si="6"/>
        <v>0</v>
      </c>
      <c r="D39" s="378">
        <f t="shared" si="6"/>
        <v>0</v>
      </c>
      <c r="E39" s="378">
        <f t="shared" si="6"/>
        <v>0</v>
      </c>
      <c r="F39" s="378">
        <f t="shared" si="6"/>
        <v>0</v>
      </c>
      <c r="G39" s="378">
        <f t="shared" si="6"/>
        <v>0</v>
      </c>
      <c r="H39" s="378">
        <f t="shared" si="6"/>
        <v>0</v>
      </c>
      <c r="I39" s="378">
        <f t="shared" si="6"/>
        <v>0</v>
      </c>
      <c r="J39" s="378">
        <f t="shared" si="6"/>
        <v>0</v>
      </c>
      <c r="K39" s="378">
        <f t="shared" si="6"/>
        <v>0</v>
      </c>
      <c r="L39" s="378">
        <v>0</v>
      </c>
      <c r="M39" s="378">
        <f>SUM(M38:M38)</f>
        <v>0</v>
      </c>
      <c r="N39" s="378">
        <f>SUM(N38:N38)</f>
        <v>0</v>
      </c>
      <c r="O39" s="378">
        <f>SUM(O38:O38)</f>
        <v>0</v>
      </c>
      <c r="P39" s="378">
        <f>SUM(P38:P38)</f>
        <v>0</v>
      </c>
      <c r="Q39" s="378">
        <f>SUM(B39:P39)</f>
        <v>0</v>
      </c>
    </row>
    <row r="40" spans="1:17" s="383" customFormat="1" ht="21">
      <c r="A40" s="380" t="s">
        <v>20</v>
      </c>
      <c r="B40" s="381">
        <f>0</f>
        <v>0</v>
      </c>
      <c r="C40" s="381">
        <v>0</v>
      </c>
      <c r="D40" s="381">
        <f>0</f>
        <v>0</v>
      </c>
      <c r="E40" s="381">
        <f>0</f>
        <v>0</v>
      </c>
      <c r="F40" s="381">
        <f>0</f>
        <v>0</v>
      </c>
      <c r="G40" s="381">
        <f>0</f>
        <v>0</v>
      </c>
      <c r="H40" s="381">
        <f>0</f>
        <v>0</v>
      </c>
      <c r="I40" s="381">
        <f>0</f>
        <v>0</v>
      </c>
      <c r="J40" s="381">
        <f>0</f>
        <v>0</v>
      </c>
      <c r="K40" s="381">
        <f>0</f>
        <v>0</v>
      </c>
      <c r="L40" s="381">
        <v>0</v>
      </c>
      <c r="M40" s="381">
        <v>0</v>
      </c>
      <c r="N40" s="381">
        <f>0</f>
        <v>0</v>
      </c>
      <c r="O40" s="381">
        <f>0</f>
        <v>0</v>
      </c>
      <c r="P40" s="381">
        <f>0</f>
        <v>0</v>
      </c>
      <c r="Q40" s="382">
        <f>SUM(B40:P40)</f>
        <v>0</v>
      </c>
    </row>
    <row r="41" spans="1:17" s="92" customFormat="1" ht="21">
      <c r="A41" s="384" t="s">
        <v>262</v>
      </c>
      <c r="B41" s="378"/>
      <c r="C41" s="377"/>
      <c r="D41" s="379"/>
      <c r="E41" s="378"/>
      <c r="F41" s="378"/>
      <c r="G41" s="378"/>
      <c r="H41" s="378"/>
      <c r="I41" s="378"/>
      <c r="J41" s="378"/>
      <c r="K41" s="379"/>
      <c r="L41" s="379"/>
      <c r="M41" s="378"/>
      <c r="N41" s="377"/>
      <c r="O41" s="378"/>
      <c r="P41" s="378"/>
      <c r="Q41" s="378"/>
    </row>
    <row r="42" spans="1:17" s="92" customFormat="1" ht="21">
      <c r="A42" s="322">
        <v>410100</v>
      </c>
      <c r="B42" s="377">
        <v>0</v>
      </c>
      <c r="C42" s="377">
        <v>0</v>
      </c>
      <c r="D42" s="377">
        <v>0</v>
      </c>
      <c r="E42" s="377">
        <v>0</v>
      </c>
      <c r="F42" s="377">
        <v>0</v>
      </c>
      <c r="G42" s="377">
        <v>0</v>
      </c>
      <c r="H42" s="377">
        <v>0</v>
      </c>
      <c r="I42" s="377">
        <v>0</v>
      </c>
      <c r="J42" s="377">
        <v>0</v>
      </c>
      <c r="K42" s="377">
        <v>0</v>
      </c>
      <c r="L42" s="377">
        <v>0</v>
      </c>
      <c r="M42" s="377">
        <v>0</v>
      </c>
      <c r="N42" s="377">
        <v>0</v>
      </c>
      <c r="O42" s="377">
        <v>0</v>
      </c>
      <c r="P42" s="377">
        <v>0</v>
      </c>
      <c r="Q42" s="378">
        <f>SUM(B42:P42)</f>
        <v>0</v>
      </c>
    </row>
    <row r="43" spans="1:17" s="92" customFormat="1" ht="21">
      <c r="A43" s="322" t="s">
        <v>19</v>
      </c>
      <c r="B43" s="378">
        <f aca="true" t="shared" si="7" ref="B43:P43">SUM(B42)</f>
        <v>0</v>
      </c>
      <c r="C43" s="378">
        <f t="shared" si="7"/>
        <v>0</v>
      </c>
      <c r="D43" s="378">
        <f t="shared" si="7"/>
        <v>0</v>
      </c>
      <c r="E43" s="378">
        <f t="shared" si="7"/>
        <v>0</v>
      </c>
      <c r="F43" s="378">
        <f t="shared" si="7"/>
        <v>0</v>
      </c>
      <c r="G43" s="378">
        <f t="shared" si="7"/>
        <v>0</v>
      </c>
      <c r="H43" s="378">
        <f t="shared" si="7"/>
        <v>0</v>
      </c>
      <c r="I43" s="378">
        <f t="shared" si="7"/>
        <v>0</v>
      </c>
      <c r="J43" s="378">
        <f t="shared" si="7"/>
        <v>0</v>
      </c>
      <c r="K43" s="378">
        <f t="shared" si="7"/>
        <v>0</v>
      </c>
      <c r="L43" s="378">
        <f t="shared" si="7"/>
        <v>0</v>
      </c>
      <c r="M43" s="378">
        <f t="shared" si="7"/>
        <v>0</v>
      </c>
      <c r="N43" s="378">
        <f t="shared" si="7"/>
        <v>0</v>
      </c>
      <c r="O43" s="378">
        <f t="shared" si="7"/>
        <v>0</v>
      </c>
      <c r="P43" s="378">
        <f t="shared" si="7"/>
        <v>0</v>
      </c>
      <c r="Q43" s="378">
        <f>SUM(B43:P43)</f>
        <v>0</v>
      </c>
    </row>
    <row r="44" spans="1:17" s="383" customFormat="1" ht="21">
      <c r="A44" s="380" t="s">
        <v>20</v>
      </c>
      <c r="B44" s="381">
        <f>0</f>
        <v>0</v>
      </c>
      <c r="C44" s="381">
        <v>0</v>
      </c>
      <c r="D44" s="381">
        <f>0</f>
        <v>0</v>
      </c>
      <c r="E44" s="381">
        <f>0</f>
        <v>0</v>
      </c>
      <c r="F44" s="381">
        <f>0</f>
        <v>0</v>
      </c>
      <c r="G44" s="381">
        <f>0</f>
        <v>0</v>
      </c>
      <c r="H44" s="381">
        <f>0</f>
        <v>0</v>
      </c>
      <c r="I44" s="381">
        <v>0</v>
      </c>
      <c r="J44" s="381">
        <v>0</v>
      </c>
      <c r="K44" s="381">
        <f>0</f>
        <v>0</v>
      </c>
      <c r="L44" s="381">
        <v>0</v>
      </c>
      <c r="M44" s="381">
        <f>0</f>
        <v>0</v>
      </c>
      <c r="N44" s="381">
        <f>0</f>
        <v>0</v>
      </c>
      <c r="O44" s="381">
        <f>0</f>
        <v>0</v>
      </c>
      <c r="P44" s="381">
        <f>0</f>
        <v>0</v>
      </c>
      <c r="Q44" s="382">
        <f>SUM(B44:P44)</f>
        <v>0</v>
      </c>
    </row>
    <row r="45" spans="1:17" s="92" customFormat="1" ht="21">
      <c r="A45" s="384" t="s">
        <v>263</v>
      </c>
      <c r="B45" s="378"/>
      <c r="C45" s="377"/>
      <c r="D45" s="379"/>
      <c r="E45" s="378"/>
      <c r="F45" s="378"/>
      <c r="G45" s="378"/>
      <c r="H45" s="378"/>
      <c r="I45" s="378"/>
      <c r="J45" s="378"/>
      <c r="K45" s="379"/>
      <c r="L45" s="379"/>
      <c r="M45" s="378"/>
      <c r="N45" s="377"/>
      <c r="O45" s="378"/>
      <c r="P45" s="378"/>
      <c r="Q45" s="378"/>
    </row>
    <row r="46" spans="1:17" s="92" customFormat="1" ht="21">
      <c r="A46" s="398">
        <v>420700</v>
      </c>
      <c r="B46" s="378"/>
      <c r="C46" s="377">
        <v>0</v>
      </c>
      <c r="D46" s="379">
        <v>0</v>
      </c>
      <c r="E46" s="378">
        <v>0</v>
      </c>
      <c r="F46" s="378">
        <v>0</v>
      </c>
      <c r="G46" s="378">
        <v>0</v>
      </c>
      <c r="H46" s="378">
        <v>0</v>
      </c>
      <c r="I46" s="378">
        <v>0</v>
      </c>
      <c r="J46" s="378">
        <v>0</v>
      </c>
      <c r="K46" s="379">
        <v>0</v>
      </c>
      <c r="L46" s="379">
        <v>0</v>
      </c>
      <c r="M46" s="378">
        <v>0</v>
      </c>
      <c r="N46" s="377">
        <v>0</v>
      </c>
      <c r="O46" s="378">
        <v>0</v>
      </c>
      <c r="P46" s="378">
        <v>0</v>
      </c>
      <c r="Q46" s="378">
        <f>SUM(B46:P46)</f>
        <v>0</v>
      </c>
    </row>
    <row r="47" spans="1:17" s="92" customFormat="1" ht="21">
      <c r="A47" s="322" t="s">
        <v>19</v>
      </c>
      <c r="B47" s="378">
        <f aca="true" t="shared" si="8" ref="B47:P47">SUM(B46:B46)</f>
        <v>0</v>
      </c>
      <c r="C47" s="378">
        <f t="shared" si="8"/>
        <v>0</v>
      </c>
      <c r="D47" s="378">
        <f t="shared" si="8"/>
        <v>0</v>
      </c>
      <c r="E47" s="378">
        <f t="shared" si="8"/>
        <v>0</v>
      </c>
      <c r="F47" s="378">
        <f t="shared" si="8"/>
        <v>0</v>
      </c>
      <c r="G47" s="378">
        <f t="shared" si="8"/>
        <v>0</v>
      </c>
      <c r="H47" s="378">
        <f t="shared" si="8"/>
        <v>0</v>
      </c>
      <c r="I47" s="378">
        <f t="shared" si="8"/>
        <v>0</v>
      </c>
      <c r="J47" s="378">
        <f t="shared" si="8"/>
        <v>0</v>
      </c>
      <c r="K47" s="378">
        <f t="shared" si="8"/>
        <v>0</v>
      </c>
      <c r="L47" s="378">
        <f t="shared" si="8"/>
        <v>0</v>
      </c>
      <c r="M47" s="378">
        <f t="shared" si="8"/>
        <v>0</v>
      </c>
      <c r="N47" s="378">
        <f t="shared" si="8"/>
        <v>0</v>
      </c>
      <c r="O47" s="378">
        <f t="shared" si="8"/>
        <v>0</v>
      </c>
      <c r="P47" s="378">
        <f t="shared" si="8"/>
        <v>0</v>
      </c>
      <c r="Q47" s="378">
        <f>SUM(B47:P47)</f>
        <v>0</v>
      </c>
    </row>
    <row r="48" spans="1:17" s="383" customFormat="1" ht="21">
      <c r="A48" s="380" t="s">
        <v>20</v>
      </c>
      <c r="B48" s="381">
        <f>0</f>
        <v>0</v>
      </c>
      <c r="C48" s="381">
        <v>0</v>
      </c>
      <c r="D48" s="381">
        <v>0</v>
      </c>
      <c r="E48" s="381">
        <f>0</f>
        <v>0</v>
      </c>
      <c r="F48" s="381">
        <f>0</f>
        <v>0</v>
      </c>
      <c r="G48" s="381">
        <f>0</f>
        <v>0</v>
      </c>
      <c r="H48" s="381">
        <f>0</f>
        <v>0</v>
      </c>
      <c r="I48" s="381">
        <f>0</f>
        <v>0</v>
      </c>
      <c r="J48" s="381">
        <f>0</f>
        <v>0</v>
      </c>
      <c r="K48" s="381">
        <f>0</f>
        <v>0</v>
      </c>
      <c r="L48" s="381">
        <v>0</v>
      </c>
      <c r="M48" s="381">
        <f>0</f>
        <v>0</v>
      </c>
      <c r="N48" s="381">
        <f>0</f>
        <v>0</v>
      </c>
      <c r="O48" s="381">
        <f>0</f>
        <v>0</v>
      </c>
      <c r="P48" s="381">
        <f>0</f>
        <v>0</v>
      </c>
      <c r="Q48" s="382">
        <f>SUM(B48:P48)</f>
        <v>0</v>
      </c>
    </row>
    <row r="49" spans="1:17" s="92" customFormat="1" ht="21">
      <c r="A49" s="384" t="s">
        <v>264</v>
      </c>
      <c r="B49" s="378"/>
      <c r="C49" s="377"/>
      <c r="D49" s="379"/>
      <c r="E49" s="378"/>
      <c r="F49" s="378"/>
      <c r="G49" s="378"/>
      <c r="H49" s="378"/>
      <c r="I49" s="378"/>
      <c r="J49" s="378"/>
      <c r="K49" s="379"/>
      <c r="L49" s="379"/>
      <c r="M49" s="378"/>
      <c r="N49" s="377"/>
      <c r="O49" s="378"/>
      <c r="P49" s="378"/>
      <c r="Q49" s="378"/>
    </row>
    <row r="50" spans="1:17" s="92" customFormat="1" ht="21">
      <c r="A50" s="322">
        <v>610100</v>
      </c>
      <c r="B50" s="377">
        <v>0</v>
      </c>
      <c r="C50" s="377">
        <v>0</v>
      </c>
      <c r="D50" s="377">
        <v>0</v>
      </c>
      <c r="E50" s="377">
        <v>0</v>
      </c>
      <c r="F50" s="377">
        <v>0</v>
      </c>
      <c r="G50" s="377">
        <v>0</v>
      </c>
      <c r="H50" s="377">
        <v>0</v>
      </c>
      <c r="I50" s="377">
        <v>0</v>
      </c>
      <c r="J50" s="377">
        <v>0</v>
      </c>
      <c r="K50" s="377">
        <v>0</v>
      </c>
      <c r="L50" s="377">
        <v>0</v>
      </c>
      <c r="M50" s="377">
        <v>0</v>
      </c>
      <c r="N50" s="377">
        <v>0</v>
      </c>
      <c r="O50" s="377">
        <v>0</v>
      </c>
      <c r="P50" s="377">
        <v>0</v>
      </c>
      <c r="Q50" s="378">
        <f>SUM(B50:P50)</f>
        <v>0</v>
      </c>
    </row>
    <row r="51" spans="1:17" s="92" customFormat="1" ht="21">
      <c r="A51" s="322" t="s">
        <v>19</v>
      </c>
      <c r="B51" s="378">
        <f aca="true" t="shared" si="9" ref="B51:P51">SUM(B50:B50)</f>
        <v>0</v>
      </c>
      <c r="C51" s="378">
        <f t="shared" si="9"/>
        <v>0</v>
      </c>
      <c r="D51" s="378">
        <f t="shared" si="9"/>
        <v>0</v>
      </c>
      <c r="E51" s="378">
        <f t="shared" si="9"/>
        <v>0</v>
      </c>
      <c r="F51" s="378">
        <f t="shared" si="9"/>
        <v>0</v>
      </c>
      <c r="G51" s="378">
        <f t="shared" si="9"/>
        <v>0</v>
      </c>
      <c r="H51" s="378">
        <f t="shared" si="9"/>
        <v>0</v>
      </c>
      <c r="I51" s="378">
        <f t="shared" si="9"/>
        <v>0</v>
      </c>
      <c r="J51" s="378">
        <f t="shared" si="9"/>
        <v>0</v>
      </c>
      <c r="K51" s="378">
        <f t="shared" si="9"/>
        <v>0</v>
      </c>
      <c r="L51" s="378">
        <f t="shared" si="9"/>
        <v>0</v>
      </c>
      <c r="M51" s="378">
        <f t="shared" si="9"/>
        <v>0</v>
      </c>
      <c r="N51" s="378">
        <f t="shared" si="9"/>
        <v>0</v>
      </c>
      <c r="O51" s="378">
        <f t="shared" si="9"/>
        <v>0</v>
      </c>
      <c r="P51" s="378">
        <f t="shared" si="9"/>
        <v>0</v>
      </c>
      <c r="Q51" s="378">
        <f>SUM(B51:P51)</f>
        <v>0</v>
      </c>
    </row>
    <row r="52" spans="1:17" s="383" customFormat="1" ht="21">
      <c r="A52" s="380" t="s">
        <v>20</v>
      </c>
      <c r="B52" s="381">
        <f>0</f>
        <v>0</v>
      </c>
      <c r="C52" s="381">
        <v>0</v>
      </c>
      <c r="D52" s="381">
        <f>0</f>
        <v>0</v>
      </c>
      <c r="E52" s="381">
        <f>0</f>
        <v>0</v>
      </c>
      <c r="F52" s="381">
        <f>0</f>
        <v>0</v>
      </c>
      <c r="G52" s="381">
        <f>0</f>
        <v>0</v>
      </c>
      <c r="H52" s="381">
        <f>0</f>
        <v>0</v>
      </c>
      <c r="I52" s="381">
        <f>0</f>
        <v>0</v>
      </c>
      <c r="J52" s="381">
        <f>0</f>
        <v>0</v>
      </c>
      <c r="K52" s="381">
        <f>0</f>
        <v>0</v>
      </c>
      <c r="L52" s="381">
        <v>0</v>
      </c>
      <c r="M52" s="381">
        <f>0</f>
        <v>0</v>
      </c>
      <c r="N52" s="381">
        <f>0</f>
        <v>0</v>
      </c>
      <c r="O52" s="381">
        <v>0</v>
      </c>
      <c r="P52" s="381">
        <f>0</f>
        <v>0</v>
      </c>
      <c r="Q52" s="382">
        <f>SUM(B52:P52)</f>
        <v>0</v>
      </c>
    </row>
    <row r="53" spans="1:17" s="92" customFormat="1" ht="21">
      <c r="A53" s="384" t="s">
        <v>265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</row>
    <row r="54" spans="1:17" s="92" customFormat="1" ht="21">
      <c r="A54" s="322">
        <v>510100</v>
      </c>
      <c r="B54" s="377">
        <v>0</v>
      </c>
      <c r="C54" s="377">
        <v>10000</v>
      </c>
      <c r="D54" s="377">
        <v>0</v>
      </c>
      <c r="E54" s="377">
        <v>0</v>
      </c>
      <c r="F54" s="377">
        <v>0</v>
      </c>
      <c r="G54" s="377">
        <v>0</v>
      </c>
      <c r="H54" s="377">
        <v>0</v>
      </c>
      <c r="I54" s="377">
        <v>0</v>
      </c>
      <c r="J54" s="377">
        <v>0</v>
      </c>
      <c r="K54" s="377">
        <v>0</v>
      </c>
      <c r="L54" s="377">
        <v>0</v>
      </c>
      <c r="M54" s="377">
        <v>0</v>
      </c>
      <c r="N54" s="377">
        <v>0</v>
      </c>
      <c r="O54" s="377">
        <v>0</v>
      </c>
      <c r="P54" s="377">
        <v>0</v>
      </c>
      <c r="Q54" s="378">
        <f>SUM(B54:P54)</f>
        <v>10000</v>
      </c>
    </row>
    <row r="55" spans="1:17" s="92" customFormat="1" ht="21">
      <c r="A55" s="322" t="s">
        <v>19</v>
      </c>
      <c r="B55" s="377">
        <f aca="true" t="shared" si="10" ref="B55:P55">SUM(B54)</f>
        <v>0</v>
      </c>
      <c r="C55" s="377">
        <f t="shared" si="10"/>
        <v>10000</v>
      </c>
      <c r="D55" s="377">
        <f t="shared" si="10"/>
        <v>0</v>
      </c>
      <c r="E55" s="377">
        <f t="shared" si="10"/>
        <v>0</v>
      </c>
      <c r="F55" s="377">
        <f t="shared" si="10"/>
        <v>0</v>
      </c>
      <c r="G55" s="377">
        <f t="shared" si="10"/>
        <v>0</v>
      </c>
      <c r="H55" s="377">
        <f t="shared" si="10"/>
        <v>0</v>
      </c>
      <c r="I55" s="377">
        <f t="shared" si="10"/>
        <v>0</v>
      </c>
      <c r="J55" s="377">
        <f t="shared" si="10"/>
        <v>0</v>
      </c>
      <c r="K55" s="377">
        <f t="shared" si="10"/>
        <v>0</v>
      </c>
      <c r="L55" s="377">
        <f t="shared" si="10"/>
        <v>0</v>
      </c>
      <c r="M55" s="377">
        <f t="shared" si="10"/>
        <v>0</v>
      </c>
      <c r="N55" s="377">
        <f t="shared" si="10"/>
        <v>0</v>
      </c>
      <c r="O55" s="377">
        <f t="shared" si="10"/>
        <v>0</v>
      </c>
      <c r="P55" s="377">
        <f t="shared" si="10"/>
        <v>0</v>
      </c>
      <c r="Q55" s="378">
        <f>SUM(B55:P55)</f>
        <v>10000</v>
      </c>
    </row>
    <row r="56" spans="1:17" s="383" customFormat="1" ht="21">
      <c r="A56" s="380" t="s">
        <v>20</v>
      </c>
      <c r="B56" s="381">
        <f>0</f>
        <v>0</v>
      </c>
      <c r="C56" s="381">
        <v>10000</v>
      </c>
      <c r="D56" s="381">
        <f>0</f>
        <v>0</v>
      </c>
      <c r="E56" s="381">
        <f>0</f>
        <v>0</v>
      </c>
      <c r="F56" s="381">
        <v>0</v>
      </c>
      <c r="G56" s="381">
        <f>0</f>
        <v>0</v>
      </c>
      <c r="H56" s="381">
        <f>0</f>
        <v>0</v>
      </c>
      <c r="I56" s="381">
        <f>0</f>
        <v>0</v>
      </c>
      <c r="J56" s="381">
        <v>0</v>
      </c>
      <c r="K56" s="381">
        <f>0</f>
        <v>0</v>
      </c>
      <c r="L56" s="381">
        <v>0</v>
      </c>
      <c r="M56" s="381">
        <f>0</f>
        <v>0</v>
      </c>
      <c r="N56" s="381"/>
      <c r="O56" s="381">
        <f>0</f>
        <v>0</v>
      </c>
      <c r="P56" s="381">
        <f>0</f>
        <v>0</v>
      </c>
      <c r="Q56" s="382">
        <f>SUM(B56:P56)</f>
        <v>10000</v>
      </c>
    </row>
    <row r="57" spans="1:17" s="92" customFormat="1" ht="21">
      <c r="A57" s="322" t="s">
        <v>73</v>
      </c>
      <c r="B57" s="378">
        <f aca="true" t="shared" si="11" ref="B57:J57">B8+B12+B16+B20+B24+B28+B39+B43+B47+B51+B55</f>
        <v>0</v>
      </c>
      <c r="C57" s="378">
        <f t="shared" si="11"/>
        <v>10000</v>
      </c>
      <c r="D57" s="378">
        <f t="shared" si="11"/>
        <v>0</v>
      </c>
      <c r="E57" s="378">
        <f t="shared" si="11"/>
        <v>0</v>
      </c>
      <c r="F57" s="378">
        <f t="shared" si="11"/>
        <v>0</v>
      </c>
      <c r="G57" s="378">
        <f t="shared" si="11"/>
        <v>0</v>
      </c>
      <c r="H57" s="378">
        <f t="shared" si="11"/>
        <v>0</v>
      </c>
      <c r="I57" s="378">
        <f t="shared" si="11"/>
        <v>0</v>
      </c>
      <c r="J57" s="378">
        <f t="shared" si="11"/>
        <v>0</v>
      </c>
      <c r="K57" s="378">
        <v>0</v>
      </c>
      <c r="L57" s="378">
        <f aca="true" t="shared" si="12" ref="L57:P58">L8+L12+L16+L20+L24+L28+L39+L43+L47+L51+L55</f>
        <v>0</v>
      </c>
      <c r="M57" s="378">
        <f t="shared" si="12"/>
        <v>0</v>
      </c>
      <c r="N57" s="378">
        <f t="shared" si="12"/>
        <v>0</v>
      </c>
      <c r="O57" s="378">
        <f t="shared" si="12"/>
        <v>0</v>
      </c>
      <c r="P57" s="378">
        <f t="shared" si="12"/>
        <v>0</v>
      </c>
      <c r="Q57" s="378">
        <f>SUM(B57:P57)</f>
        <v>10000</v>
      </c>
    </row>
    <row r="58" spans="1:17" s="383" customFormat="1" ht="21">
      <c r="A58" s="380" t="s">
        <v>104</v>
      </c>
      <c r="B58" s="382">
        <f aca="true" t="shared" si="13" ref="B58:J58">B9+B13+B17+B21+B25+B29+B40+B44+B48+B52+B56</f>
        <v>0</v>
      </c>
      <c r="C58" s="382">
        <f t="shared" si="13"/>
        <v>10000</v>
      </c>
      <c r="D58" s="382">
        <f t="shared" si="13"/>
        <v>0</v>
      </c>
      <c r="E58" s="382">
        <f t="shared" si="13"/>
        <v>0</v>
      </c>
      <c r="F58" s="382">
        <f t="shared" si="13"/>
        <v>0</v>
      </c>
      <c r="G58" s="382">
        <f t="shared" si="13"/>
        <v>0</v>
      </c>
      <c r="H58" s="382">
        <f t="shared" si="13"/>
        <v>0</v>
      </c>
      <c r="I58" s="382">
        <f t="shared" si="13"/>
        <v>0</v>
      </c>
      <c r="J58" s="382">
        <f t="shared" si="13"/>
        <v>0</v>
      </c>
      <c r="K58" s="382">
        <v>0</v>
      </c>
      <c r="L58" s="382">
        <f t="shared" si="12"/>
        <v>0</v>
      </c>
      <c r="M58" s="382">
        <f t="shared" si="12"/>
        <v>0</v>
      </c>
      <c r="N58" s="382">
        <f t="shared" si="12"/>
        <v>0</v>
      </c>
      <c r="O58" s="382">
        <f t="shared" si="12"/>
        <v>0</v>
      </c>
      <c r="P58" s="382">
        <f t="shared" si="12"/>
        <v>0</v>
      </c>
      <c r="Q58" s="382">
        <f>SUM(B58:P58)</f>
        <v>10000</v>
      </c>
    </row>
    <row r="59" spans="1:17" s="383" customFormat="1" ht="21">
      <c r="A59" s="399"/>
      <c r="B59" s="400"/>
      <c r="C59" s="400"/>
      <c r="D59" s="528" t="s">
        <v>7</v>
      </c>
      <c r="E59" s="528"/>
      <c r="F59" s="528"/>
      <c r="G59" s="528"/>
      <c r="H59" s="393"/>
      <c r="I59" s="393"/>
      <c r="J59" s="393"/>
      <c r="K59" s="528" t="s">
        <v>101</v>
      </c>
      <c r="L59" s="528"/>
      <c r="M59" s="528"/>
      <c r="N59" s="400"/>
      <c r="O59" s="400"/>
      <c r="P59" s="400"/>
      <c r="Q59" s="401"/>
    </row>
    <row r="60" spans="1:17" s="383" customFormat="1" ht="21">
      <c r="A60" s="402"/>
      <c r="B60" s="395"/>
      <c r="C60" s="395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5"/>
      <c r="O60" s="395"/>
      <c r="P60" s="395"/>
      <c r="Q60" s="394"/>
    </row>
    <row r="61" spans="1:17" s="399" customFormat="1" ht="21">
      <c r="A61" s="402"/>
      <c r="B61" s="395"/>
      <c r="C61" s="395"/>
      <c r="D61" s="529" t="s">
        <v>119</v>
      </c>
      <c r="E61" s="529"/>
      <c r="F61" s="529"/>
      <c r="G61" s="529"/>
      <c r="H61" s="393"/>
      <c r="I61" s="393"/>
      <c r="J61" s="393"/>
      <c r="K61" s="529" t="s">
        <v>102</v>
      </c>
      <c r="L61" s="529"/>
      <c r="M61" s="529"/>
      <c r="N61" s="395"/>
      <c r="O61" s="395"/>
      <c r="P61" s="395"/>
      <c r="Q61" s="394"/>
    </row>
    <row r="62" spans="1:17" s="92" customFormat="1" ht="21">
      <c r="A62" s="331"/>
      <c r="B62" s="403"/>
      <c r="C62" s="403"/>
      <c r="D62" s="529" t="s">
        <v>111</v>
      </c>
      <c r="E62" s="529"/>
      <c r="F62" s="529"/>
      <c r="G62" s="529"/>
      <c r="H62" s="393"/>
      <c r="I62" s="393"/>
      <c r="J62" s="393"/>
      <c r="K62" s="529" t="s">
        <v>100</v>
      </c>
      <c r="L62" s="529"/>
      <c r="M62" s="529"/>
      <c r="N62" s="403"/>
      <c r="O62" s="403"/>
      <c r="P62" s="403"/>
      <c r="Q62" s="231"/>
    </row>
  </sheetData>
  <mergeCells count="26">
    <mergeCell ref="A1:Q1"/>
    <mergeCell ref="A2:Q2"/>
    <mergeCell ref="A3:Q3"/>
    <mergeCell ref="A34:Q34"/>
    <mergeCell ref="G4:H4"/>
    <mergeCell ref="I4:J4"/>
    <mergeCell ref="K30:M30"/>
    <mergeCell ref="K4:L4"/>
    <mergeCell ref="C4:D4"/>
    <mergeCell ref="E4:F4"/>
    <mergeCell ref="D62:G62"/>
    <mergeCell ref="D32:G32"/>
    <mergeCell ref="D33:G33"/>
    <mergeCell ref="K62:M62"/>
    <mergeCell ref="K59:M59"/>
    <mergeCell ref="E35:F35"/>
    <mergeCell ref="C35:D35"/>
    <mergeCell ref="I35:J35"/>
    <mergeCell ref="G35:H35"/>
    <mergeCell ref="K35:L35"/>
    <mergeCell ref="D30:G30"/>
    <mergeCell ref="K32:M32"/>
    <mergeCell ref="D59:G59"/>
    <mergeCell ref="K61:M61"/>
    <mergeCell ref="D61:G61"/>
    <mergeCell ref="K33:M33"/>
  </mergeCells>
  <printOptions/>
  <pageMargins left="0.7480314960629921" right="0.31496062992125984" top="0.3937007874015748" bottom="0" header="0.5511811023622047" footer="0.5118110236220472"/>
  <pageSetup horizontalDpi="180" verticalDpi="18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ASIA</cp:lastModifiedBy>
  <cp:lastPrinted>2010-08-23T12:39:17Z</cp:lastPrinted>
  <dcterms:created xsi:type="dcterms:W3CDTF">2006-01-23T06:43:20Z</dcterms:created>
  <dcterms:modified xsi:type="dcterms:W3CDTF">2010-08-23T13:06:57Z</dcterms:modified>
  <cp:category/>
  <cp:version/>
  <cp:contentType/>
  <cp:contentStatus/>
</cp:coreProperties>
</file>