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55" windowWidth="14655" windowHeight="7620" firstSheet="6" activeTab="7"/>
  </bookViews>
  <sheets>
    <sheet name="รับ-จ่าย (2)" sheetId="31" r:id="rId1"/>
    <sheet name="งบทดลอง (2)" sheetId="26" r:id="rId2"/>
    <sheet name="รายรับจริง(มห.1) (2)" sheetId="23" r:id="rId3"/>
    <sheet name="เงินรับฝาก(มห.2)" sheetId="3" r:id="rId4"/>
    <sheet name="ประกอบผลการดำเนินงาน(มห.3)" sheetId="43" r:id="rId5"/>
    <sheet name="งบกระทบยอด092-2-70597-6" sheetId="44" r:id="rId6"/>
    <sheet name="งบกระทบยอด802-0-27701-3" sheetId="45" r:id="rId7"/>
    <sheet name="กระดาษทำการ(เงินรายรับ)" sheetId="34" r:id="rId8"/>
    <sheet name="คงเหลือรายรับ (1)" sheetId="38" r:id="rId9"/>
    <sheet name="คงเหลือรายรับ (2)" sheetId="39" r:id="rId10"/>
    <sheet name="คงเหลือรายรับ (3)" sheetId="40" r:id="rId11"/>
  </sheets>
  <definedNames>
    <definedName name="_xlnm.Print_Area" localSheetId="1">'งบทดลอง (2)'!$A$1:$G$36</definedName>
    <definedName name="_xlnm.Print_Area" localSheetId="0">'รับ-จ่าย (2)'!$A$1:$I$80</definedName>
  </definedNames>
  <calcPr calcId="124519"/>
</workbook>
</file>

<file path=xl/calcChain.xml><?xml version="1.0" encoding="utf-8"?>
<calcChain xmlns="http://schemas.openxmlformats.org/spreadsheetml/2006/main">
  <c r="C16" i="34"/>
  <c r="C16" i="39"/>
  <c r="C16" i="40"/>
  <c r="C16" i="38"/>
  <c r="L30" i="45"/>
  <c r="L26"/>
  <c r="L17"/>
  <c r="L12"/>
  <c r="L27" s="1"/>
  <c r="L52" i="44"/>
  <c r="L48"/>
  <c r="L42"/>
  <c r="L10"/>
  <c r="L49" s="1"/>
  <c r="Q18" i="40" l="1"/>
  <c r="H18"/>
  <c r="T11"/>
  <c r="T25" i="39"/>
  <c r="B28"/>
  <c r="B26"/>
  <c r="B25"/>
  <c r="T22"/>
  <c r="R19"/>
  <c r="B17"/>
  <c r="B11"/>
  <c r="K7"/>
  <c r="H7"/>
  <c r="B8"/>
  <c r="B7"/>
  <c r="B5"/>
  <c r="K35" i="38"/>
  <c r="K34"/>
  <c r="D35"/>
  <c r="B36"/>
  <c r="B35"/>
  <c r="B34"/>
  <c r="K29"/>
  <c r="K28"/>
  <c r="K27"/>
  <c r="K25"/>
  <c r="G29"/>
  <c r="G28"/>
  <c r="G25"/>
  <c r="D28"/>
  <c r="D27"/>
  <c r="D25"/>
  <c r="B30"/>
  <c r="B29"/>
  <c r="B28"/>
  <c r="B27"/>
  <c r="B25"/>
  <c r="B22"/>
  <c r="B21"/>
  <c r="B20"/>
  <c r="B19"/>
  <c r="B18"/>
  <c r="U15"/>
  <c r="U14"/>
  <c r="U12"/>
  <c r="U11"/>
  <c r="U10"/>
  <c r="U9"/>
  <c r="U8"/>
  <c r="O7" i="39"/>
  <c r="O123" i="34"/>
  <c r="Q86"/>
  <c r="B86"/>
  <c r="I56"/>
  <c r="B56"/>
  <c r="I49"/>
  <c r="D49"/>
  <c r="B49"/>
  <c r="I34"/>
  <c r="F34"/>
  <c r="D34"/>
  <c r="B34"/>
  <c r="B25"/>
  <c r="R17"/>
  <c r="B53"/>
  <c r="B51"/>
  <c r="G53" l="1"/>
  <c r="D72" i="31" l="1"/>
  <c r="D57"/>
  <c r="D56"/>
  <c r="D52"/>
  <c r="D50"/>
  <c r="D49"/>
  <c r="D48"/>
  <c r="D47"/>
  <c r="D46"/>
  <c r="D25"/>
  <c r="D23"/>
  <c r="D20"/>
  <c r="D17"/>
  <c r="D14"/>
  <c r="D12"/>
  <c r="D11"/>
  <c r="A50"/>
  <c r="I56"/>
  <c r="I46"/>
  <c r="F55" i="23"/>
  <c r="F29"/>
  <c r="F17"/>
  <c r="F16"/>
  <c r="F10"/>
  <c r="D7" i="39" l="1"/>
  <c r="D56" i="34"/>
  <c r="S31" l="1"/>
  <c r="V29" i="38"/>
  <c r="B26"/>
  <c r="D16" i="34" l="1"/>
  <c r="E16"/>
  <c r="F16"/>
  <c r="G16"/>
  <c r="H16"/>
  <c r="I16"/>
  <c r="J16"/>
  <c r="K16"/>
  <c r="L16"/>
  <c r="M16"/>
  <c r="N16"/>
  <c r="O16"/>
  <c r="P16"/>
  <c r="Q16"/>
  <c r="R16"/>
  <c r="B16"/>
  <c r="D16" i="38"/>
  <c r="E16"/>
  <c r="F16"/>
  <c r="G16"/>
  <c r="H16"/>
  <c r="I16"/>
  <c r="J16"/>
  <c r="K16"/>
  <c r="L16"/>
  <c r="M16"/>
  <c r="N16"/>
  <c r="O16"/>
  <c r="P16"/>
  <c r="Q16"/>
  <c r="R16"/>
  <c r="S16"/>
  <c r="T16"/>
  <c r="U16"/>
  <c r="B16"/>
  <c r="S8" i="34"/>
  <c r="S7"/>
  <c r="V8" i="38"/>
  <c r="V7"/>
  <c r="A54" i="31"/>
  <c r="A52"/>
  <c r="A51"/>
  <c r="A56"/>
  <c r="A53"/>
  <c r="A49"/>
  <c r="A48"/>
  <c r="A47"/>
  <c r="D27"/>
  <c r="I71"/>
  <c r="I38"/>
  <c r="I72" l="1"/>
  <c r="C8" i="43"/>
  <c r="C48" i="34" l="1"/>
  <c r="D48"/>
  <c r="E48"/>
  <c r="F48"/>
  <c r="G48"/>
  <c r="H48"/>
  <c r="I48"/>
  <c r="J48"/>
  <c r="K48"/>
  <c r="L48"/>
  <c r="M48"/>
  <c r="N48"/>
  <c r="O48"/>
  <c r="P48"/>
  <c r="Q48"/>
  <c r="R48"/>
  <c r="B48"/>
  <c r="S44" l="1"/>
  <c r="B11" i="43" l="1"/>
  <c r="C11"/>
  <c r="S100" i="34" l="1"/>
  <c r="C19" i="31" l="1"/>
  <c r="S91" i="34" l="1"/>
  <c r="C125" l="1"/>
  <c r="R86"/>
  <c r="P86"/>
  <c r="O86"/>
  <c r="N86"/>
  <c r="M86"/>
  <c r="L86"/>
  <c r="K86"/>
  <c r="J86"/>
  <c r="H86"/>
  <c r="G86"/>
  <c r="F86"/>
  <c r="E86"/>
  <c r="D86"/>
  <c r="R85"/>
  <c r="Q85"/>
  <c r="P85"/>
  <c r="O85"/>
  <c r="N85"/>
  <c r="M85"/>
  <c r="L85"/>
  <c r="K85"/>
  <c r="J85"/>
  <c r="I85"/>
  <c r="H85"/>
  <c r="G85"/>
  <c r="F85"/>
  <c r="E85"/>
  <c r="D85"/>
  <c r="C85"/>
  <c r="B85"/>
  <c r="S84"/>
  <c r="S83"/>
  <c r="S82"/>
  <c r="S81"/>
  <c r="R49"/>
  <c r="Q49"/>
  <c r="P49"/>
  <c r="O49"/>
  <c r="N49"/>
  <c r="M49"/>
  <c r="L49"/>
  <c r="K49"/>
  <c r="J49"/>
  <c r="H49"/>
  <c r="G49"/>
  <c r="S47"/>
  <c r="S46"/>
  <c r="S45"/>
  <c r="R123"/>
  <c r="N123"/>
  <c r="M123"/>
  <c r="I123"/>
  <c r="D123"/>
  <c r="Q122"/>
  <c r="P122"/>
  <c r="O122"/>
  <c r="N122"/>
  <c r="M122"/>
  <c r="L122"/>
  <c r="K122"/>
  <c r="J122"/>
  <c r="I122"/>
  <c r="H122"/>
  <c r="G122"/>
  <c r="F122"/>
  <c r="E122"/>
  <c r="D122"/>
  <c r="C122"/>
  <c r="B122"/>
  <c r="R121"/>
  <c r="S121" s="1"/>
  <c r="R120"/>
  <c r="S120" s="1"/>
  <c r="R119"/>
  <c r="S119" s="1"/>
  <c r="R107"/>
  <c r="N107"/>
  <c r="M107"/>
  <c r="J107"/>
  <c r="I107"/>
  <c r="D107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S105"/>
  <c r="R103"/>
  <c r="O103"/>
  <c r="N103"/>
  <c r="M103"/>
  <c r="L103"/>
  <c r="K103"/>
  <c r="H103"/>
  <c r="E103"/>
  <c r="D103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S101"/>
  <c r="S99"/>
  <c r="R97"/>
  <c r="O97"/>
  <c r="N97"/>
  <c r="M97"/>
  <c r="S97" s="1"/>
  <c r="R96"/>
  <c r="Q96"/>
  <c r="P96"/>
  <c r="O96"/>
  <c r="N96"/>
  <c r="M96"/>
  <c r="L96"/>
  <c r="K96"/>
  <c r="J96"/>
  <c r="I96"/>
  <c r="H96"/>
  <c r="G96"/>
  <c r="F96"/>
  <c r="E96"/>
  <c r="D96"/>
  <c r="C96"/>
  <c r="B96"/>
  <c r="S95"/>
  <c r="S94"/>
  <c r="S93"/>
  <c r="S92"/>
  <c r="S90"/>
  <c r="S89"/>
  <c r="S88"/>
  <c r="R71"/>
  <c r="O71"/>
  <c r="L71"/>
  <c r="E71"/>
  <c r="S71" s="1"/>
  <c r="R70"/>
  <c r="Q70"/>
  <c r="P70"/>
  <c r="O70"/>
  <c r="N70"/>
  <c r="M70"/>
  <c r="L70"/>
  <c r="J70"/>
  <c r="I70"/>
  <c r="G70"/>
  <c r="F70"/>
  <c r="E70"/>
  <c r="D70"/>
  <c r="C70"/>
  <c r="B70"/>
  <c r="K69"/>
  <c r="K70" s="1"/>
  <c r="H69"/>
  <c r="S68"/>
  <c r="S67"/>
  <c r="S66"/>
  <c r="S65"/>
  <c r="S64"/>
  <c r="S63"/>
  <c r="S62"/>
  <c r="S61"/>
  <c r="S60"/>
  <c r="S59"/>
  <c r="S58"/>
  <c r="B125"/>
  <c r="S48" l="1"/>
  <c r="S85"/>
  <c r="S106"/>
  <c r="S69"/>
  <c r="S103"/>
  <c r="S107"/>
  <c r="R122"/>
  <c r="S49"/>
  <c r="S86"/>
  <c r="S102"/>
  <c r="S96"/>
  <c r="S122"/>
  <c r="S123"/>
  <c r="H70"/>
  <c r="S70" s="1"/>
  <c r="V11" i="38" l="1"/>
  <c r="V10"/>
  <c r="V21" i="39"/>
  <c r="V10" i="40"/>
  <c r="V11" i="39" l="1"/>
  <c r="U19" i="40"/>
  <c r="T19"/>
  <c r="S19"/>
  <c r="R19"/>
  <c r="O19"/>
  <c r="N19"/>
  <c r="M19"/>
  <c r="K19"/>
  <c r="J19"/>
  <c r="I19"/>
  <c r="G19"/>
  <c r="F19"/>
  <c r="E19"/>
  <c r="D19"/>
  <c r="C19"/>
  <c r="Q19"/>
  <c r="P19"/>
  <c r="L19"/>
  <c r="H19"/>
  <c r="V17"/>
  <c r="B19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V14"/>
  <c r="U12"/>
  <c r="S12"/>
  <c r="R12"/>
  <c r="Q12"/>
  <c r="P12"/>
  <c r="O12"/>
  <c r="N12"/>
  <c r="M12"/>
  <c r="K12"/>
  <c r="J12"/>
  <c r="I12"/>
  <c r="H12"/>
  <c r="G12"/>
  <c r="F12"/>
  <c r="E12"/>
  <c r="D12"/>
  <c r="C12"/>
  <c r="B12"/>
  <c r="T12"/>
  <c r="V11"/>
  <c r="L12"/>
  <c r="U8"/>
  <c r="T8"/>
  <c r="S8"/>
  <c r="R8"/>
  <c r="Q8"/>
  <c r="P8"/>
  <c r="O8"/>
  <c r="N8"/>
  <c r="M8"/>
  <c r="J8"/>
  <c r="I8"/>
  <c r="H8"/>
  <c r="G8"/>
  <c r="F8"/>
  <c r="E8"/>
  <c r="C8"/>
  <c r="V7"/>
  <c r="L8"/>
  <c r="V6"/>
  <c r="K8"/>
  <c r="D8"/>
  <c r="B8"/>
  <c r="U29" i="39"/>
  <c r="S29"/>
  <c r="R29"/>
  <c r="Q29"/>
  <c r="P29"/>
  <c r="O29"/>
  <c r="N29"/>
  <c r="M29"/>
  <c r="L29"/>
  <c r="K29"/>
  <c r="J29"/>
  <c r="I29"/>
  <c r="H29"/>
  <c r="G29"/>
  <c r="F29"/>
  <c r="E29"/>
  <c r="D29"/>
  <c r="C29"/>
  <c r="V28"/>
  <c r="V27"/>
  <c r="V26"/>
  <c r="T29"/>
  <c r="V25"/>
  <c r="U23"/>
  <c r="R23"/>
  <c r="Q23"/>
  <c r="P23"/>
  <c r="O23"/>
  <c r="N23"/>
  <c r="M23"/>
  <c r="L23"/>
  <c r="J23"/>
  <c r="I23"/>
  <c r="G23"/>
  <c r="F23"/>
  <c r="E23"/>
  <c r="C23"/>
  <c r="V22"/>
  <c r="V19"/>
  <c r="V18"/>
  <c r="V17"/>
  <c r="V16"/>
  <c r="V15"/>
  <c r="H23"/>
  <c r="T23"/>
  <c r="V13"/>
  <c r="V12"/>
  <c r="K23"/>
  <c r="D23"/>
  <c r="U9"/>
  <c r="S9"/>
  <c r="Q9"/>
  <c r="N9"/>
  <c r="M9"/>
  <c r="L9"/>
  <c r="J9"/>
  <c r="I9"/>
  <c r="G9"/>
  <c r="F9"/>
  <c r="C9"/>
  <c r="V8"/>
  <c r="R9"/>
  <c r="P9"/>
  <c r="O9"/>
  <c r="H9"/>
  <c r="E9"/>
  <c r="D9"/>
  <c r="V7"/>
  <c r="V6"/>
  <c r="T9"/>
  <c r="K9"/>
  <c r="B9"/>
  <c r="U37" i="38"/>
  <c r="T37"/>
  <c r="S37"/>
  <c r="R37"/>
  <c r="Q37"/>
  <c r="P37"/>
  <c r="O37"/>
  <c r="N37"/>
  <c r="M37"/>
  <c r="L37"/>
  <c r="J37"/>
  <c r="I37"/>
  <c r="H37"/>
  <c r="G37"/>
  <c r="F37"/>
  <c r="E37"/>
  <c r="C37"/>
  <c r="V36"/>
  <c r="D37"/>
  <c r="B37"/>
  <c r="V34"/>
  <c r="K37"/>
  <c r="V33"/>
  <c r="U31"/>
  <c r="T31"/>
  <c r="S31"/>
  <c r="R31"/>
  <c r="Q31"/>
  <c r="P31"/>
  <c r="O31"/>
  <c r="N31"/>
  <c r="M31"/>
  <c r="L31"/>
  <c r="J31"/>
  <c r="I31"/>
  <c r="H31"/>
  <c r="F31"/>
  <c r="E31"/>
  <c r="C31"/>
  <c r="V30"/>
  <c r="G31"/>
  <c r="V28"/>
  <c r="V27"/>
  <c r="V26"/>
  <c r="K31"/>
  <c r="D31"/>
  <c r="B31"/>
  <c r="U23"/>
  <c r="T23"/>
  <c r="R23"/>
  <c r="Q23"/>
  <c r="P23"/>
  <c r="O23"/>
  <c r="N23"/>
  <c r="M23"/>
  <c r="L23"/>
  <c r="K23"/>
  <c r="J23"/>
  <c r="I23"/>
  <c r="H23"/>
  <c r="G23"/>
  <c r="F23"/>
  <c r="E23"/>
  <c r="D23"/>
  <c r="C23"/>
  <c r="V22"/>
  <c r="V21"/>
  <c r="V19"/>
  <c r="B23"/>
  <c r="T20" i="40"/>
  <c r="R20"/>
  <c r="Q20"/>
  <c r="P20"/>
  <c r="O20"/>
  <c r="N20"/>
  <c r="M20"/>
  <c r="L20"/>
  <c r="J20"/>
  <c r="I20"/>
  <c r="H20"/>
  <c r="G20"/>
  <c r="F20"/>
  <c r="E20"/>
  <c r="C20"/>
  <c r="V15" i="38"/>
  <c r="V14"/>
  <c r="V13"/>
  <c r="V12"/>
  <c r="V9"/>
  <c r="U20" i="40"/>
  <c r="V15" l="1"/>
  <c r="K20"/>
  <c r="V8"/>
  <c r="V19"/>
  <c r="D20"/>
  <c r="V9" i="39"/>
  <c r="V31" i="38"/>
  <c r="V12" i="40"/>
  <c r="V37" i="38"/>
  <c r="V16"/>
  <c r="V18"/>
  <c r="V35"/>
  <c r="V5" i="39"/>
  <c r="V14"/>
  <c r="B23"/>
  <c r="B29"/>
  <c r="V29" s="1"/>
  <c r="V5" i="40"/>
  <c r="V25" i="38"/>
  <c r="V18" i="40"/>
  <c r="B20" l="1"/>
  <c r="E29" i="3" l="1"/>
  <c r="R56" i="34" l="1"/>
  <c r="S56" s="1"/>
  <c r="R55"/>
  <c r="Q55"/>
  <c r="P55"/>
  <c r="O55"/>
  <c r="N55"/>
  <c r="M55"/>
  <c r="L55"/>
  <c r="K55"/>
  <c r="J55"/>
  <c r="I55"/>
  <c r="H55"/>
  <c r="G55"/>
  <c r="F55"/>
  <c r="E55"/>
  <c r="D55"/>
  <c r="C55"/>
  <c r="S54"/>
  <c r="S53"/>
  <c r="S52"/>
  <c r="B55"/>
  <c r="R34"/>
  <c r="Q34"/>
  <c r="P34"/>
  <c r="O34"/>
  <c r="N34"/>
  <c r="M34"/>
  <c r="L34"/>
  <c r="K34"/>
  <c r="J34"/>
  <c r="H34"/>
  <c r="E34"/>
  <c r="R33"/>
  <c r="Q33"/>
  <c r="P33"/>
  <c r="O33"/>
  <c r="N33"/>
  <c r="M33"/>
  <c r="L33"/>
  <c r="K33"/>
  <c r="J33"/>
  <c r="I33"/>
  <c r="H33"/>
  <c r="G33"/>
  <c r="F33"/>
  <c r="E33"/>
  <c r="D33"/>
  <c r="C33"/>
  <c r="B33"/>
  <c r="S32"/>
  <c r="S30"/>
  <c r="S29"/>
  <c r="S28"/>
  <c r="S27"/>
  <c r="R25"/>
  <c r="R125" s="1"/>
  <c r="Q25"/>
  <c r="P25"/>
  <c r="O25"/>
  <c r="N25"/>
  <c r="M25"/>
  <c r="L25"/>
  <c r="K25"/>
  <c r="J25"/>
  <c r="H25"/>
  <c r="G25"/>
  <c r="F25"/>
  <c r="E25"/>
  <c r="S25" s="1"/>
  <c r="R24"/>
  <c r="Q24"/>
  <c r="P24"/>
  <c r="O24"/>
  <c r="N24"/>
  <c r="M24"/>
  <c r="L24"/>
  <c r="K24"/>
  <c r="J24"/>
  <c r="I24"/>
  <c r="H24"/>
  <c r="G24"/>
  <c r="F24"/>
  <c r="E24"/>
  <c r="D24"/>
  <c r="C24"/>
  <c r="B24"/>
  <c r="S23"/>
  <c r="S22"/>
  <c r="S21"/>
  <c r="S19"/>
  <c r="Q17"/>
  <c r="Q125" s="1"/>
  <c r="P17"/>
  <c r="P125" s="1"/>
  <c r="O17"/>
  <c r="O125" s="1"/>
  <c r="N17"/>
  <c r="N125" s="1"/>
  <c r="M17"/>
  <c r="M125" s="1"/>
  <c r="L17"/>
  <c r="L125" s="1"/>
  <c r="K17"/>
  <c r="K125" s="1"/>
  <c r="J17"/>
  <c r="J125" s="1"/>
  <c r="I17"/>
  <c r="I125" s="1"/>
  <c r="H17"/>
  <c r="H125" s="1"/>
  <c r="G17"/>
  <c r="G125" s="1"/>
  <c r="F17"/>
  <c r="F125" s="1"/>
  <c r="E17"/>
  <c r="E125" s="1"/>
  <c r="D17"/>
  <c r="D125" s="1"/>
  <c r="R124"/>
  <c r="Q124"/>
  <c r="P124"/>
  <c r="O124"/>
  <c r="N124"/>
  <c r="M124"/>
  <c r="L124"/>
  <c r="K124"/>
  <c r="H124"/>
  <c r="G124"/>
  <c r="E124"/>
  <c r="C124"/>
  <c r="S15"/>
  <c r="S14"/>
  <c r="S13"/>
  <c r="S12"/>
  <c r="S11"/>
  <c r="S10"/>
  <c r="S9"/>
  <c r="F124" l="1"/>
  <c r="J124"/>
  <c r="D124"/>
  <c r="B124"/>
  <c r="I124"/>
  <c r="S125"/>
  <c r="S24"/>
  <c r="S34"/>
  <c r="S17"/>
  <c r="S55"/>
  <c r="S33"/>
  <c r="S16"/>
  <c r="S51"/>
  <c r="S124" l="1"/>
  <c r="B71" i="31" l="1"/>
  <c r="C56"/>
  <c r="C55"/>
  <c r="C54"/>
  <c r="C53"/>
  <c r="C52"/>
  <c r="C51"/>
  <c r="C50"/>
  <c r="C49"/>
  <c r="C48"/>
  <c r="D71"/>
  <c r="C47"/>
  <c r="C46"/>
  <c r="B38"/>
  <c r="D38"/>
  <c r="D75" l="1"/>
  <c r="C71"/>
  <c r="A71"/>
  <c r="C29" i="3" l="1"/>
  <c r="E34" i="23"/>
  <c r="D34"/>
  <c r="A15" i="31" s="1"/>
  <c r="C15" s="1"/>
  <c r="F34" i="23"/>
  <c r="D32" i="26" l="1"/>
  <c r="G32" l="1"/>
  <c r="F32"/>
  <c r="E32"/>
  <c r="F60" i="23" l="1"/>
  <c r="E68"/>
  <c r="D68"/>
  <c r="E60"/>
  <c r="D60"/>
  <c r="A18" i="31" s="1"/>
  <c r="C18" s="1"/>
  <c r="E57" i="23"/>
  <c r="D57"/>
  <c r="A17" i="31" s="1"/>
  <c r="C17" s="1"/>
  <c r="F43" i="23"/>
  <c r="E43"/>
  <c r="D43"/>
  <c r="A16" i="31" s="1"/>
  <c r="C16" s="1"/>
  <c r="E30" i="23"/>
  <c r="D30"/>
  <c r="A14" i="31" s="1"/>
  <c r="C14" s="1"/>
  <c r="F30" i="23"/>
  <c r="F27"/>
  <c r="E27"/>
  <c r="D27"/>
  <c r="A13" i="31" s="1"/>
  <c r="C13" s="1"/>
  <c r="E24" i="23"/>
  <c r="D24"/>
  <c r="A12" i="31" s="1"/>
  <c r="F24" i="23"/>
  <c r="E12"/>
  <c r="D12"/>
  <c r="A11" i="31" s="1"/>
  <c r="C11" s="1"/>
  <c r="F12" i="23"/>
  <c r="A38" i="31" l="1"/>
  <c r="C12"/>
  <c r="C38" s="1"/>
  <c r="E69" i="23"/>
  <c r="D69"/>
  <c r="F57"/>
  <c r="F68"/>
  <c r="F69" l="1"/>
  <c r="D29" i="3" l="1"/>
  <c r="I75" i="31" l="1"/>
  <c r="S20" i="34" l="1"/>
  <c r="V23" i="38"/>
  <c r="V23" i="39"/>
  <c r="S23"/>
  <c r="S20"/>
  <c r="V20"/>
  <c r="V20" i="38"/>
  <c r="S20"/>
  <c r="S23"/>
  <c r="S20" i="40"/>
  <c r="V20"/>
</calcChain>
</file>

<file path=xl/comments1.xml><?xml version="1.0" encoding="utf-8"?>
<comments xmlns="http://schemas.openxmlformats.org/spreadsheetml/2006/main">
  <authors>
    <author>com</author>
    <author>sKzXP</author>
    <author>MoZarD</author>
    <author>user</author>
    <author>CasperX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4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ค่าชำระหนี้เงินต้น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ค่าชำระดอกเบี้ย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เบี้ยยังชีพคนชรา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เบี้ยยังชีพคนพิการ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31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A32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เงินอื่น ๆ
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41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42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
</t>
        </r>
      </text>
    </comment>
    <comment ref="G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44" authorId="0">
      <text>
        <r>
          <rPr>
            <b/>
            <sz val="8"/>
            <color indexed="81"/>
            <rFont val="Tahoma"/>
            <family val="2"/>
          </rPr>
          <t>ค่าตอบแทนผู้ปฏิบัติราชการอันเป็นประโยชน์แก่อปท.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5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4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  <comment ref="A5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5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5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5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5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5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5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6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6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อาหารเสริม(นม)</t>
        </r>
      </text>
    </comment>
    <comment ref="A6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6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6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6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6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6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6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6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วัสดุอื่น ๆ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78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79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R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8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8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8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8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8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  <comment ref="A8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8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8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ครุภัณฑ์ยานพาหนะและขนส่ง</t>
        </r>
      </text>
    </comment>
    <comment ref="A9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ครุภัณฑ์การเกษตร</t>
        </r>
      </text>
    </comment>
    <comment ref="A9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ครุภัณฑ์ไฟฟ้าและวิทยุ</t>
        </r>
      </text>
    </comment>
    <comment ref="A92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ครุภัณฑ์งานบ้านงานครัว</t>
        </r>
      </text>
    </comment>
    <comment ref="A93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ครุภัณฑ์สำรวจ</t>
        </r>
      </text>
    </comment>
    <comment ref="A94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ครุภัณฑ์คอมพิวเตอร์</t>
        </r>
      </text>
    </comment>
    <comment ref="A9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 5,000 บาท)</t>
        </r>
      </text>
    </comment>
    <comment ref="A98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9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ค่าก่อสร้างสิ่งสาธารณูปการ</t>
        </r>
      </text>
    </comment>
    <comment ref="A10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ค่าก่อสร้างสิ่งสาธารณูปโภค</t>
        </r>
      </text>
    </comment>
    <comment ref="A10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0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0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116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117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R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1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1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 อปท.อื่น
</t>
        </r>
      </text>
    </comment>
    <comment ref="A12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12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เงินอุดหนุนกิจการที่เป็นสาธารณประโยชน์</t>
        </r>
      </text>
    </comment>
  </commentList>
</comments>
</file>

<file path=xl/comments2.xml><?xml version="1.0" encoding="utf-8"?>
<comments xmlns="http://schemas.openxmlformats.org/spreadsheetml/2006/main">
  <authors>
    <author>com</author>
    <author>sKzXP</author>
    <author>MoZarD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5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ค่าชำระหนี้เงินต้น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ค่าชำระดอกเบี้ย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เบี้ยยังชีพผู้สูงอายุ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เบี้ยยังชีพคนพิการ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28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2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MoZarD:เงินอื่น ๆ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33" authorId="0">
      <text>
        <r>
          <rPr>
            <b/>
            <sz val="8"/>
            <color indexed="81"/>
            <rFont val="Tahoma"/>
            <family val="2"/>
          </rPr>
          <t>ค่าตอบแทนผู้ปฏิบัติราชการอันเป็นประโยชน์แก่อปท.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3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3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</commentList>
</comments>
</file>

<file path=xl/comments3.xml><?xml version="1.0" encoding="utf-8"?>
<comments xmlns="http://schemas.openxmlformats.org/spreadsheetml/2006/main">
  <authors>
    <author>com</author>
    <author>sKzXP</author>
    <author>MoZarD</author>
    <author>user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1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1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1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1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1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ค่าอาหารเสริม(นม)</t>
        </r>
      </text>
    </comment>
    <comment ref="A1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1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2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วัสดุอื่นๆ</t>
        </r>
      </text>
    </comment>
    <comment ref="A2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2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2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2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</commentList>
</comments>
</file>

<file path=xl/comments4.xml><?xml version="1.0" encoding="utf-8"?>
<comments xmlns="http://schemas.openxmlformats.org/spreadsheetml/2006/main">
  <authors>
    <author>com</author>
    <author>sKzXP</author>
    <author>MoZarD</author>
    <author>user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ครุภัณฑ์ไฟฟ้าและวิทยุ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ค่าบำรุงรักษาและปรับปรุงครุภัณฑ์(วงเงินเกินกว่า 5,000  บาท)</t>
        </r>
      </text>
    </comment>
    <comment ref="A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10" authorId="3">
      <text>
        <r>
          <rPr>
            <b/>
            <sz val="8"/>
            <color indexed="81"/>
            <rFont val="Tahoma"/>
            <family val="2"/>
          </rPr>
          <t>user:
ค่าก่อสร้างสิ่งสาธารณูปโภค</t>
        </r>
      </text>
    </comment>
    <comment ref="A11" authorId="3">
      <text>
        <r>
          <rPr>
            <b/>
            <sz val="8"/>
            <color indexed="81"/>
            <rFont val="Tahoma"/>
            <family val="2"/>
          </rPr>
          <t>user:
ค่าบำรุงรักษาและปรับปรุงที่ดินและสิ่งก่อสร้าง</t>
        </r>
      </text>
    </comment>
    <comment ref="A1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 ๆ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1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เงินอุดหนุนองค์กรปกครองส่วนท้องถิ่น
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</commentList>
</comments>
</file>

<file path=xl/sharedStrings.xml><?xml version="1.0" encoding="utf-8"?>
<sst xmlns="http://schemas.openxmlformats.org/spreadsheetml/2006/main" count="683" uniqueCount="300">
  <si>
    <t>เทศบาลตำบลเกาะทวด</t>
  </si>
  <si>
    <t>อำเภอปากพนัง      จังหวัด นครศรีธรรมราช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</si>
  <si>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</si>
  <si>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</si>
  <si>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</si>
  <si>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</si>
  <si>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</si>
  <si>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</si>
  <si>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</si>
  <si>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</si>
  <si>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</si>
  <si>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</si>
  <si>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</si>
  <si>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</si>
  <si>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</si>
  <si>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</si>
  <si>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</si>
  <si>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</si>
  <si>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</si>
  <si>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</si>
  <si>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เงินสะสม</t>
  </si>
  <si>
    <t>รวมรายรับ</t>
  </si>
  <si>
    <t>-2-</t>
  </si>
  <si>
    <t>รายจ่าย</t>
  </si>
  <si>
    <t>งบกลาง</t>
  </si>
  <si>
    <t>510000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</si>
  <si>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</si>
  <si>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</si>
  <si>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</si>
  <si>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</si>
  <si>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</si>
  <si>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</si>
  <si>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</si>
  <si>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</si>
  <si>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</si>
  <si>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</si>
  <si>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</si>
  <si>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</si>
  <si>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</si>
  <si>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</si>
  <si>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</si>
  <si>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(ลงชื่อ)..........................................</t>
  </si>
  <si>
    <t>(นางสาวเอมอร  ทรายขาว)</t>
  </si>
  <si>
    <t>(นายจิราวุธ  กรเพชร)</t>
  </si>
  <si>
    <t>(นายวรรณชาติ   ยอดแก้ว)</t>
  </si>
  <si>
    <t>ปลัดเทศบาล</t>
  </si>
  <si>
    <t>นายกเทศมนตรีตำบลเกาะทวด</t>
  </si>
  <si>
    <t>งบทดลอง</t>
  </si>
  <si>
    <t>รหัสบัญชี</t>
  </si>
  <si>
    <t>เดบิท</t>
  </si>
  <si>
    <t>เครดิต</t>
  </si>
  <si>
    <t>เงินสด</t>
  </si>
  <si>
    <t>-</t>
  </si>
  <si>
    <t>ลูกหนี้ภาษีบำรุงท้องที่</t>
  </si>
  <si>
    <t xml:space="preserve"> เงินรับฝาก  (หมายเหตุ 2)</t>
  </si>
  <si>
    <t>เงินทุนสำรองเงินสะสม</t>
  </si>
  <si>
    <t>(ลงชื่อ)……...........…....………….</t>
  </si>
  <si>
    <t>(ลงชื่อ)….............................……....………….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</si>
  <si>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</si>
  <si>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r>
      <t xml:space="preserve">รับฝาก </t>
    </r>
    <r>
      <rPr>
        <b/>
        <sz val="16"/>
        <rFont val="Angsana New"/>
        <family val="1"/>
      </rPr>
      <t>(หมายเหตุ 2)</t>
    </r>
  </si>
  <si>
    <t>ผู้อำนวยการกองคลัง</t>
  </si>
  <si>
    <t>ที่</t>
  </si>
  <si>
    <t>ตั้งแต่ต้นปี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</si>
  <si>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</si>
  <si>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</si>
  <si>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</si>
  <si>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ค่าธรรมเนียมเกี่ยวกับใบอนุญาตการขายสุรา</t>
  </si>
  <si>
    <t>ค่าธรรมเนียมเกี่ยวกับการควบคุมอาคาร</t>
  </si>
  <si>
    <t>ค่าธรรมเนียมอื่น ๆ</t>
  </si>
  <si>
    <t>ค่าปรับผู้กระทำผิดกฎหมายจราจรทางบก</t>
  </si>
  <si>
    <t>ค่าปรับการผิดสัญญา</t>
  </si>
  <si>
    <t>ค่าปรับอื่น ๆ</t>
  </si>
  <si>
    <t>ค่าใบอนุญาตเกี่ยวกับการโฆษณาโดยใช้เครื่องขยายเสียง</t>
  </si>
  <si>
    <t>ดอกเบี้ยเงินฝากธนาคาร</t>
  </si>
  <si>
    <t>รายได้จากการจำหน่ายน้ำประปา</t>
  </si>
  <si>
    <t>ค่าขายแบบแปลน</t>
  </si>
  <si>
    <t>รายได้เบ็ดเตล็ดอื่น ๆ</t>
  </si>
  <si>
    <t>ค่าขายทอดตลาดทรัพย์สิน</t>
  </si>
  <si>
    <t>ภาษีมูลค่าเพิ่มตามพ.ร.บ.กำหนดแผนฯ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</si>
  <si>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</si>
  <si>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</si>
  <si>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</si>
  <si>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</si>
  <si>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</si>
  <si>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ภาษีจัดสรรอื่น ๆ</t>
  </si>
  <si>
    <t>เงินอุดหนุนทั่วไปสำหรับดำเนินการตามอำนาจหน้าที่และภารกิจฯ</t>
  </si>
  <si>
    <t>เงินอุดหนุนระบุวัตถุประสงค์</t>
  </si>
  <si>
    <t>หมายเหตุ 2</t>
  </si>
  <si>
    <t>บัญชีเงินรับฝาก</t>
  </si>
  <si>
    <t>คงเหลือ</t>
  </si>
  <si>
    <t>ภาษีหัก ณ ที่จ่าย</t>
  </si>
  <si>
    <t>เงินประกันสัญญา</t>
  </si>
  <si>
    <t>เงินทุนโครงการเศรษฐกิจชุมชน</t>
  </si>
  <si>
    <t>เงินกู้ธนาคารออมสิน</t>
  </si>
  <si>
    <t>รายรับจริงประกอบงบทดลองและรายงานรับ-จ่ายเงินสด</t>
  </si>
  <si>
    <t>รับจริง</t>
  </si>
  <si>
    <t>รายได้จัดเก็บเอง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</si>
  <si>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</si>
  <si>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</si>
  <si>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</si>
  <si>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</si>
  <si>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</si>
  <si>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</si>
  <si>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</si>
  <si>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</si>
  <si>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ภาษีมูลค่าเพิ่ม  1 ใน 9</t>
  </si>
  <si>
    <t>ค่าธรรมเนียมจดทะเบียนสิทธิและนิติกรรมตามประมวลกฎหมายที่ดิน</t>
  </si>
  <si>
    <t>รายละเอียด ประกอบงบทดลองและรายงานรับ-จ่ายเงินสด</t>
  </si>
  <si>
    <t>เงินฝาก กสท.</t>
  </si>
  <si>
    <t>รวม</t>
  </si>
  <si>
    <t>รวมทั้งสิ้น</t>
  </si>
  <si>
    <t>เงินสมทบประกันสังคม</t>
  </si>
  <si>
    <t>รายจ่ายค้างจ่าย</t>
  </si>
  <si>
    <t>หมายเหตุ 1</t>
  </si>
  <si>
    <t xml:space="preserve">รายจ่ายค้างจ่าย </t>
  </si>
  <si>
    <t>ค่าใบอนุญาตเกี่ยวกับการควบคุมอาคาร</t>
  </si>
  <si>
    <t>เงินกู้ ธนาคารกรุงไทย</t>
  </si>
  <si>
    <r>
      <t xml:space="preserve">เงินรับฝาก </t>
    </r>
    <r>
      <rPr>
        <b/>
        <sz val="16"/>
        <rFont val="Angsana New"/>
        <family val="1"/>
      </rPr>
      <t>(หมายเหตุ 2)</t>
    </r>
  </si>
  <si>
    <t>เงินฝากธนาคารกรุงไทย ออมทรัพย์  802-0-27701-3</t>
  </si>
  <si>
    <t>กระดาษทำการกระทบยอด</t>
  </si>
  <si>
    <t>รายจ่ายตามงบประมาณ (จ่ายจากเงินรายรับ)</t>
  </si>
  <si>
    <t>แผนงาน/งาน</t>
  </si>
  <si>
    <t>00110</t>
  </si>
  <si>
    <t>00120</t>
  </si>
  <si>
    <t>00210</t>
  </si>
  <si>
    <t>00220</t>
  </si>
  <si>
    <t>00240</t>
  </si>
  <si>
    <t>00250</t>
  </si>
  <si>
    <t>00260</t>
  </si>
  <si>
    <t>00320</t>
  </si>
  <si>
    <t>00330</t>
  </si>
  <si>
    <t>00410</t>
  </si>
  <si>
    <t>หมวด/ประเภท</t>
  </si>
  <si>
    <t>00111</t>
  </si>
  <si>
    <t>00112</t>
  </si>
  <si>
    <t>00113</t>
  </si>
  <si>
    <t>00121</t>
  </si>
  <si>
    <t>00212</t>
  </si>
  <si>
    <t>00221</t>
  </si>
  <si>
    <t>00241</t>
  </si>
  <si>
    <t>00242</t>
  </si>
  <si>
    <t>00251</t>
  </si>
  <si>
    <t>00261</t>
  </si>
  <si>
    <t>00262</t>
  </si>
  <si>
    <t>00263</t>
  </si>
  <si>
    <t>00321</t>
  </si>
  <si>
    <t>00332</t>
  </si>
  <si>
    <t>00411</t>
  </si>
  <si>
    <t xml:space="preserve">510000 </t>
  </si>
  <si>
    <t>110300</t>
  </si>
  <si>
    <t>110700</t>
  </si>
  <si>
    <t>110800</t>
  </si>
  <si>
    <t>110900</t>
  </si>
  <si>
    <t>111000</t>
  </si>
  <si>
    <t>111100</t>
  </si>
  <si>
    <t>120100</t>
  </si>
  <si>
    <t>รวมเดือนนี้</t>
  </si>
  <si>
    <t>รวมแต่ต้นปี</t>
  </si>
  <si>
    <t>ผู้จัดทำ</t>
  </si>
  <si>
    <t>ตรวจถูกต้อง</t>
  </si>
  <si>
    <t>(นางนงนุช   รอดจบ)</t>
  </si>
  <si>
    <t>นักวิชาการเงินและบัญชี</t>
  </si>
  <si>
    <t xml:space="preserve">  - 2 -</t>
  </si>
  <si>
    <t>-3-</t>
  </si>
  <si>
    <t>รวมทั้งสิ้นเดือนนี้</t>
  </si>
  <si>
    <t>รวมทั้งสินแต่ต้นปี</t>
  </si>
  <si>
    <t>(ลงชื่อ)……...............…....………….</t>
  </si>
  <si>
    <t>00211</t>
  </si>
  <si>
    <t>00252</t>
  </si>
  <si>
    <t>เงินกู้ สหกรณ์ออมทรัพย์ อปท.จ.นครศรีธรรมราช</t>
  </si>
  <si>
    <t>เงินฝากธนาคาร ธกส. ออมทรัพย์ 01092-2-70597-6</t>
  </si>
  <si>
    <t>เงินฝากธนาคาร ธกส. ออมทรัพย์ 01092-2-71685-2</t>
  </si>
  <si>
    <t>บัญชีแยกประเภทรายจ่าย</t>
  </si>
  <si>
    <t>1.งบกลาง</t>
  </si>
  <si>
    <t xml:space="preserve">      -  จ่ายจากเงินรายรับ</t>
  </si>
  <si>
    <t xml:space="preserve">      -  จ่ายจากเงินอุดหนุนทั่วไประบุวัตถุประสงค์</t>
  </si>
  <si>
    <t>หมายเหตุ   3</t>
  </si>
  <si>
    <t>ลูกหนี้รายได้อื่น ๆ</t>
  </si>
  <si>
    <t>เงินฝากเงินทุนส่งเสริมกิจการเทศบาล</t>
  </si>
  <si>
    <t>ลูกหนี้เงินทุนโครงการเศรษฐกิจชุมชน</t>
  </si>
  <si>
    <t>เงินอุดหนุนระบุ</t>
  </si>
  <si>
    <t>วัตถุประสงค์/</t>
  </si>
  <si>
    <t>เฉพาะกิจ (บาท)</t>
  </si>
  <si>
    <t>(บาท)</t>
  </si>
  <si>
    <t>จำนวนเงิน</t>
  </si>
  <si>
    <t>ที่เกิดขึ้นจริง</t>
  </si>
  <si>
    <t>ลูกหนี้เงินยืม</t>
  </si>
  <si>
    <t>รับ(เครดิต)</t>
  </si>
  <si>
    <t>จ่าย(เดบิท)</t>
  </si>
  <si>
    <t xml:space="preserve">                  งบกระทบยอดเงินฝากธนาคาร</t>
  </si>
  <si>
    <t xml:space="preserve">             บาท</t>
  </si>
  <si>
    <t xml:space="preserve">            บาท</t>
  </si>
  <si>
    <t>บวก : เงินฝากระหว่างทาง</t>
  </si>
  <si>
    <r>
      <t xml:space="preserve">     </t>
    </r>
    <r>
      <rPr>
        <b/>
        <u/>
        <sz val="16"/>
        <rFont val="Cordia New"/>
        <family val="2"/>
        <charset val="222"/>
      </rPr>
      <t xml:space="preserve">วันที่ลงบัญชี 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</t>
    </r>
    <r>
      <rPr>
        <b/>
        <u/>
        <sz val="16"/>
        <rFont val="Cordia New"/>
        <family val="2"/>
        <charset val="222"/>
      </rPr>
      <t>วันที่ฝากธนาคาร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</si>
  <si>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หัก : เช็คจ่ายที่ผู้รับยังไม่นำมาขึ้นเงินกับธนาคาร</t>
  </si>
  <si>
    <r>
      <t xml:space="preserve">     </t>
    </r>
    <r>
      <rPr>
        <b/>
        <u/>
        <sz val="16"/>
        <rFont val="Cordia New"/>
        <family val="2"/>
        <charset val="222"/>
      </rPr>
      <t>วันที่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           </t>
    </r>
    <r>
      <rPr>
        <b/>
        <u/>
        <sz val="16"/>
        <rFont val="Cordia New"/>
        <family val="2"/>
        <charset val="222"/>
      </rPr>
      <t>เลขที่เช็ค</t>
    </r>
    <r>
      <rPr>
        <sz val="16"/>
        <rFont val="Cordia New"/>
        <family val="2"/>
        <charset val="222"/>
      </rPr>
      <t xml:space="preserve">               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</si>
  <si>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บวก : หรือ (หัก) รายการกระทบยอดอื่น ๆ</t>
  </si>
  <si>
    <t>รายละเอียด</t>
  </si>
  <si>
    <r>
      <t xml:space="preserve">  </t>
    </r>
    <r>
      <rPr>
        <b/>
        <sz val="16"/>
        <rFont val="Cordia New"/>
        <family val="2"/>
        <charset val="222"/>
      </rPr>
      <t>ผู้ตรวจสอบ</t>
    </r>
  </si>
  <si>
    <r>
      <t>ลงชื่อ</t>
    </r>
    <r>
      <rPr>
        <sz val="16"/>
        <rFont val="Cordia New"/>
        <family val="2"/>
        <charset val="222"/>
      </rPr>
      <t xml:space="preserve">  นางนงนุช   รอดจบ</t>
    </r>
  </si>
  <si>
    <r>
      <t>ลงชื่อ</t>
    </r>
    <r>
      <rPr>
        <sz val="16"/>
        <rFont val="Cordia New"/>
        <family val="2"/>
        <charset val="222"/>
      </rPr>
      <t xml:space="preserve"> นางสาวเอมอร  ทรายขาว</t>
    </r>
  </si>
  <si>
    <r>
      <t xml:space="preserve">ตำแหน่ง </t>
    </r>
    <r>
      <rPr>
        <sz val="16"/>
        <rFont val="Cordia New"/>
        <family val="2"/>
        <charset val="222"/>
      </rPr>
      <t>นักวิชาการเงินและบัญชี</t>
    </r>
  </si>
  <si>
    <r>
      <t xml:space="preserve">ตำแหน่ง </t>
    </r>
    <r>
      <rPr>
        <sz val="16"/>
        <rFont val="Cordia New"/>
        <family val="2"/>
      </rPr>
      <t>ผู้อำนวยการกองคลัง</t>
    </r>
  </si>
  <si>
    <t>งบประมาณคงเหลือ (จ่ายจากเงินรายรับ)</t>
  </si>
  <si>
    <t>00230</t>
  </si>
  <si>
    <t>00123</t>
  </si>
  <si>
    <t>00231</t>
  </si>
  <si>
    <t>00322</t>
  </si>
  <si>
    <t xml:space="preserve"> </t>
  </si>
  <si>
    <t>ค่าปรับผิดสัญญาเงินอุดหนุนเฉพาะกิจ</t>
  </si>
  <si>
    <t>11011000</t>
  </si>
  <si>
    <t>11012001</t>
  </si>
  <si>
    <t>11032000</t>
  </si>
  <si>
    <t>11041000</t>
  </si>
  <si>
    <t>11043002</t>
  </si>
  <si>
    <t>11044000</t>
  </si>
  <si>
    <t>11045000</t>
  </si>
  <si>
    <t>21010000</t>
  </si>
  <si>
    <t>21040000</t>
  </si>
  <si>
    <t>31000000</t>
  </si>
  <si>
    <t>32000000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</si>
  <si>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</si>
  <si>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</si>
  <si>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</si>
  <si>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</si>
  <si>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</si>
  <si>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</si>
  <si>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</si>
  <si>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</si>
  <si>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</si>
  <si>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56100000</t>
  </si>
  <si>
    <t>41100000</t>
  </si>
  <si>
    <t>41200000</t>
  </si>
  <si>
    <t>41300000</t>
  </si>
  <si>
    <t>41400000</t>
  </si>
  <si>
    <t>41500000</t>
  </si>
  <si>
    <t>41600000</t>
  </si>
  <si>
    <t>42100000</t>
  </si>
  <si>
    <t>43100000</t>
  </si>
  <si>
    <t>55100000</t>
  </si>
  <si>
    <t>ค่าธรรมเนียมเกี่ยวกับทะเบียนพาณิชย์</t>
  </si>
  <si>
    <t>ค่าปรับผู้กระทำผิดกฎหมายทะเบียนพาณิชย์</t>
  </si>
  <si>
    <t>ภาษีและค่าธรรมเนียมรถยนต์และล้อเลื่อน</t>
  </si>
  <si>
    <r>
      <t xml:space="preserve">             </t>
    </r>
    <r>
      <rPr>
        <b/>
        <sz val="16"/>
        <rFont val="Cordia New"/>
        <family val="2"/>
        <charset val="222"/>
      </rPr>
      <t xml:space="preserve">ธนาคาร  </t>
    </r>
    <r>
      <rPr>
        <sz val="16"/>
        <rFont val="Cordia New"/>
        <family val="2"/>
      </rPr>
      <t>กรุงไทย</t>
    </r>
    <r>
      <rPr>
        <sz val="16"/>
        <rFont val="Cordia New"/>
        <family val="2"/>
        <charset val="222"/>
      </rPr>
      <t xml:space="preserve">  ออมทรัพย์</t>
    </r>
  </si>
  <si>
    <r>
      <t xml:space="preserve">             </t>
    </r>
    <r>
      <rPr>
        <b/>
        <sz val="16"/>
        <rFont val="Cordia New"/>
        <family val="2"/>
        <charset val="222"/>
      </rPr>
      <t xml:space="preserve">เลขที่บัญชี  </t>
    </r>
    <r>
      <rPr>
        <sz val="16"/>
        <rFont val="Cordia New"/>
        <family val="2"/>
      </rPr>
      <t>802-0-27701-3</t>
    </r>
  </si>
  <si>
    <t>เงินกู้ ธ.ก.ส.</t>
  </si>
  <si>
    <t>เงินสนับสนุนจาก สปสช.ทต.เกาะทวด</t>
  </si>
  <si>
    <t>เงินบำเหน็จบำนาญพนักงานครู</t>
  </si>
  <si>
    <t>44100001</t>
  </si>
  <si>
    <r>
      <t xml:space="preserve">             </t>
    </r>
    <r>
      <rPr>
        <b/>
        <sz val="14"/>
        <rFont val="Cordia New"/>
        <family val="2"/>
        <charset val="222"/>
      </rPr>
      <t xml:space="preserve">ธนาคาร   </t>
    </r>
    <r>
      <rPr>
        <sz val="14"/>
        <rFont val="Cordia New"/>
        <family val="2"/>
        <charset val="222"/>
      </rPr>
      <t>ธกส.  ออมทรัพย์</t>
    </r>
  </si>
  <si>
    <r>
      <t xml:space="preserve">             </t>
    </r>
    <r>
      <rPr>
        <b/>
        <sz val="14"/>
        <rFont val="Cordia New"/>
        <family val="2"/>
        <charset val="222"/>
      </rPr>
      <t xml:space="preserve">เลขที่บัญชี  </t>
    </r>
    <r>
      <rPr>
        <sz val="14"/>
        <rFont val="Cordia New"/>
        <family val="2"/>
        <charset val="222"/>
      </rPr>
      <t>01092-2-70597-6</t>
    </r>
  </si>
  <si>
    <r>
      <t xml:space="preserve">     </t>
    </r>
    <r>
      <rPr>
        <b/>
        <u/>
        <sz val="14"/>
        <rFont val="Cordia New"/>
        <family val="2"/>
        <charset val="222"/>
      </rPr>
      <t xml:space="preserve">วันที่ลงบัญชี 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  <charset val="222"/>
      </rPr>
      <t xml:space="preserve">                          </t>
    </r>
    <r>
      <rPr>
        <b/>
        <u/>
        <sz val="14"/>
        <rFont val="Cordia New"/>
        <family val="2"/>
        <charset val="222"/>
      </rPr>
      <t>วันที่ฝากธนาคาร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  <charset val="222"/>
      </rPr>
      <t xml:space="preserve">                     </t>
    </r>
    <r>
      <rPr>
        <b/>
        <u/>
        <sz val="14"/>
        <rFont val="Cordia New"/>
        <family val="2"/>
        <charset val="222"/>
      </rPr>
      <t>จำนวนเงิน</t>
    </r>
  </si>
  <si>
    <r>
      <t xml:space="preserve">     </t>
    </r>
    <r>
      <rPr>
        <b/>
        <u/>
        <sz val="14"/>
        <rFont val="Cordia New"/>
        <family val="2"/>
        <charset val="222"/>
      </rPr>
      <t>วันที่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  <charset val="222"/>
      </rPr>
      <t xml:space="preserve">                                     </t>
    </r>
    <r>
      <rPr>
        <b/>
        <u/>
        <sz val="14"/>
        <rFont val="Cordia New"/>
        <family val="2"/>
        <charset val="222"/>
      </rPr>
      <t>เลขที่เช็ค</t>
    </r>
    <r>
      <rPr>
        <sz val="14"/>
        <rFont val="Cordia New"/>
        <family val="2"/>
        <charset val="222"/>
      </rPr>
      <t xml:space="preserve">                                    </t>
    </r>
    <r>
      <rPr>
        <b/>
        <u/>
        <sz val="14"/>
        <rFont val="Cordia New"/>
        <family val="2"/>
        <charset val="222"/>
      </rPr>
      <t>จำนวนเงิน</t>
    </r>
  </si>
  <si>
    <r>
      <t xml:space="preserve">  </t>
    </r>
    <r>
      <rPr>
        <b/>
        <sz val="14"/>
        <rFont val="Cordia New"/>
        <family val="2"/>
        <charset val="222"/>
      </rPr>
      <t>ผู้ตรวจสอบ</t>
    </r>
  </si>
  <si>
    <r>
      <t>ลงชื่อ</t>
    </r>
    <r>
      <rPr>
        <sz val="14"/>
        <rFont val="Cordia New"/>
        <family val="2"/>
        <charset val="222"/>
      </rPr>
      <t xml:space="preserve">  นางนงนุช   รอดจบ</t>
    </r>
  </si>
  <si>
    <r>
      <t>ลงชื่อ</t>
    </r>
    <r>
      <rPr>
        <sz val="14"/>
        <rFont val="Cordia New"/>
        <family val="2"/>
        <charset val="222"/>
      </rPr>
      <t xml:space="preserve"> นางสาวเอมอร  ทรายขาว</t>
    </r>
  </si>
  <si>
    <r>
      <t xml:space="preserve">ตำแหน่ง </t>
    </r>
    <r>
      <rPr>
        <sz val="14"/>
        <rFont val="Cordia New"/>
        <family val="2"/>
        <charset val="222"/>
      </rPr>
      <t>นักวิชาการเงินและบัญชี</t>
    </r>
  </si>
  <si>
    <r>
      <t xml:space="preserve">ตำแหน่ง </t>
    </r>
    <r>
      <rPr>
        <sz val="14"/>
        <rFont val="Cordia New"/>
        <family val="2"/>
        <charset val="222"/>
      </rPr>
      <t>ผู้อำนวยการกองคลัง</t>
    </r>
  </si>
  <si>
    <t>เจ้าหนี้เงินกู้ธนาคารกรุงไทย</t>
  </si>
  <si>
    <t>22011001</t>
  </si>
  <si>
    <t>ทรัพย์สินเกิดจากเงินกู้</t>
  </si>
  <si>
    <t>12010010</t>
  </si>
  <si>
    <t>เงินสนับสนุนเยียวยาผู้ประสบอุทกภัยจากสันนิบาตเทศบาล จ.นครศรีฯ</t>
  </si>
  <si>
    <t>สนับสนุน ศพด.-เงินสวัสดิการครู ปี 2559</t>
  </si>
  <si>
    <t>สนับสนุน ศพด.-เงินประกันสังคม ปี 2559</t>
  </si>
  <si>
    <t>สนับสนุน ศพด.-เงินประกันสังคม ปี 2558</t>
  </si>
  <si>
    <t>สนับสนุน ศพด.- ค่าตอบแทนผู้ดูแลเด็ก ปี 2558</t>
  </si>
  <si>
    <t>สนับสนุน ศพด.- ค่าจัดการเรียนการสอน ปี 2559</t>
  </si>
  <si>
    <t>โครงการแก้ไขปัญหายาเสพติด ปี 2557</t>
  </si>
  <si>
    <t>โครงการแก้ไขปัญหายาเสพติด ปี 2558</t>
  </si>
  <si>
    <t>รายได้จากรัฐบาลค้างรับ</t>
  </si>
  <si>
    <t>11042000</t>
  </si>
  <si>
    <t xml:space="preserve"> ณ วันที่  30  กันยายน   2560</t>
  </si>
  <si>
    <t>เงินกองทุนสวัสดิการ อปท.</t>
  </si>
  <si>
    <t>เงินรายรับ (หมายเหตุ 1)</t>
  </si>
  <si>
    <t>19010000</t>
  </si>
  <si>
    <t>เบี้ยยังชีพผู้สูงอายุ  ปี 2557</t>
  </si>
  <si>
    <t>6 ต.ค.2560</t>
  </si>
  <si>
    <t>110100</t>
  </si>
  <si>
    <t>110200</t>
  </si>
  <si>
    <t>-4-</t>
  </si>
  <si>
    <t>ปีงบประมาณ พ.ศ.2561   ประจำเดือนพฤศจิกายน  2560</t>
  </si>
  <si>
    <t xml:space="preserve"> ณ วันที่   30  พฤศจิกายน   2560</t>
  </si>
  <si>
    <t xml:space="preserve"> ณ วันที่  30  พฤศจิกายน  2560</t>
  </si>
  <si>
    <t>รับคืนเงินสมทบประกันสังคม ปี 2560</t>
  </si>
  <si>
    <t>ณ วันที่  30  พฤศจิกายน   2560</t>
  </si>
  <si>
    <t>เงินสนับสนุนเยียวยาผู้ประสบอุทกภัยฯ</t>
  </si>
  <si>
    <t>ประจำเดือนพฤศจิกายน  2560</t>
  </si>
  <si>
    <t>ยอดคงเหลือตามรายงานธนาคาร ณ วันที่  30  พฤศจิกายน  2560</t>
  </si>
  <si>
    <t>9 พ.ย.2560</t>
  </si>
  <si>
    <t>17 พ.ย.2560</t>
  </si>
  <si>
    <t>24 พ.ย. 2560</t>
  </si>
  <si>
    <t>27 พ.ย.2560</t>
  </si>
  <si>
    <t>29 พ.ย.2560</t>
  </si>
  <si>
    <t xml:space="preserve"> - 2 -</t>
  </si>
  <si>
    <t>ยอดคงเหลือตามบัญชี ณ วันที่  30  พฤศจิกายน   2560</t>
  </si>
  <si>
    <t>วันที่ 30 พ.ย. 2560</t>
  </si>
  <si>
    <t>ยอดคงเหลือตามรายงานธนาคาร ณ วันที่ 30 พฤศจิกายน  2560</t>
  </si>
  <si>
    <t>30 พ.ย.2560</t>
  </si>
  <si>
    <t>ยอดคงเหลือตามบัญชี ณ วันที่  30 พฤศจิกายน  2560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</si>
</sst>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0#"/>
  </numFmts>
  <fonts count="3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sz val="16"/>
      <color indexed="23"/>
      <name val="Angsana New"/>
      <family val="1"/>
    </font>
    <font>
      <sz val="14"/>
      <name val="Angsana New"/>
      <family val="1"/>
    </font>
    <font>
      <sz val="14"/>
      <name val="Cordia New"/>
      <family val="2"/>
    </font>
    <font>
      <b/>
      <sz val="14"/>
      <name val="Angsana New"/>
      <family val="1"/>
    </font>
    <font>
      <b/>
      <u/>
      <sz val="14"/>
      <name val="Angsana New"/>
      <family val="1"/>
    </font>
    <font>
      <sz val="16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Cordia Ne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Cordia New"/>
      <family val="2"/>
    </font>
    <font>
      <b/>
      <u/>
      <sz val="16"/>
      <name val="Cordia New"/>
      <family val="2"/>
      <charset val="222"/>
    </font>
    <font>
      <u/>
      <sz val="16"/>
      <name val="Cordia New"/>
      <family val="2"/>
      <charset val="222"/>
    </font>
    <font>
      <b/>
      <sz val="18"/>
      <name val="Angsana New"/>
      <family val="1"/>
    </font>
    <font>
      <b/>
      <sz val="18"/>
      <name val="Cordia New"/>
      <family val="2"/>
      <charset val="222"/>
    </font>
    <font>
      <sz val="14"/>
      <name val="Cordia New"/>
      <family val="2"/>
      <charset val="222"/>
    </font>
    <font>
      <b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4"/>
      <color indexed="10"/>
      <name val="Cordia New"/>
      <family val="2"/>
      <charset val="222"/>
    </font>
    <font>
      <b/>
      <u/>
      <sz val="14"/>
      <name val="Cordia New"/>
      <family val="2"/>
      <charset val="222"/>
    </font>
    <font>
      <u/>
      <sz val="14"/>
      <name val="Cordia New"/>
      <family val="2"/>
      <charset val="222"/>
    </font>
    <font>
      <sz val="16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8" fillId="0" borderId="0"/>
  </cellStyleXfs>
  <cellXfs count="453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43" fontId="3" fillId="0" borderId="0" xfId="1" applyFont="1"/>
    <xf numFmtId="49" fontId="4" fillId="0" borderId="6" xfId="0" applyNumberFormat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4" fillId="0" borderId="4" xfId="1" applyFont="1" applyBorder="1"/>
    <xf numFmtId="43" fontId="4" fillId="0" borderId="6" xfId="1" applyFont="1" applyBorder="1"/>
    <xf numFmtId="0" fontId="3" fillId="0" borderId="5" xfId="0" applyFont="1" applyBorder="1"/>
    <xf numFmtId="0" fontId="3" fillId="0" borderId="13" xfId="0" applyFont="1" applyBorder="1"/>
    <xf numFmtId="43" fontId="4" fillId="0" borderId="10" xfId="1" applyFont="1" applyBorder="1"/>
    <xf numFmtId="43" fontId="4" fillId="0" borderId="8" xfId="1" applyFont="1" applyBorder="1"/>
    <xf numFmtId="0" fontId="5" fillId="0" borderId="0" xfId="0" applyFont="1" applyBorder="1"/>
    <xf numFmtId="0" fontId="5" fillId="0" borderId="9" xfId="0" applyFont="1" applyBorder="1"/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9" xfId="0" applyFont="1" applyBorder="1"/>
    <xf numFmtId="43" fontId="4" fillId="0" borderId="10" xfId="1" applyFont="1" applyBorder="1" applyAlignment="1">
      <alignment horizontal="right"/>
    </xf>
    <xf numFmtId="43" fontId="4" fillId="0" borderId="8" xfId="1" applyFont="1" applyBorder="1" applyAlignment="1">
      <alignment horizontal="right"/>
    </xf>
    <xf numFmtId="43" fontId="4" fillId="0" borderId="10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43" fontId="6" fillId="0" borderId="0" xfId="1" applyFont="1" applyBorder="1"/>
    <xf numFmtId="187" fontId="3" fillId="0" borderId="0" xfId="0" applyNumberFormat="1" applyFont="1" applyBorder="1"/>
    <xf numFmtId="43" fontId="4" fillId="0" borderId="0" xfId="1" applyFont="1" applyBorder="1"/>
    <xf numFmtId="49" fontId="4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3" fillId="0" borderId="24" xfId="1" applyFont="1" applyBorder="1"/>
    <xf numFmtId="43" fontId="3" fillId="0" borderId="8" xfId="1" applyFont="1" applyBorder="1"/>
    <xf numFmtId="0" fontId="5" fillId="0" borderId="8" xfId="0" applyFont="1" applyBorder="1"/>
    <xf numFmtId="43" fontId="3" fillId="0" borderId="10" xfId="1" applyFont="1" applyBorder="1" applyAlignment="1">
      <alignment horizontal="center"/>
    </xf>
    <xf numFmtId="43" fontId="4" fillId="0" borderId="24" xfId="1" applyFont="1" applyBorder="1"/>
    <xf numFmtId="0" fontId="3" fillId="0" borderId="8" xfId="0" applyFont="1" applyBorder="1"/>
    <xf numFmtId="0" fontId="4" fillId="0" borderId="10" xfId="0" applyFont="1" applyBorder="1" applyAlignment="1">
      <alignment horizontal="center"/>
    </xf>
    <xf numFmtId="43" fontId="3" fillId="0" borderId="0" xfId="0" applyNumberFormat="1" applyFont="1"/>
    <xf numFmtId="49" fontId="4" fillId="0" borderId="0" xfId="0" applyNumberFormat="1" applyFont="1" applyAlignment="1">
      <alignment horizontal="center"/>
    </xf>
    <xf numFmtId="0" fontId="3" fillId="0" borderId="0" xfId="2" applyFont="1" applyAlignment="1"/>
    <xf numFmtId="0" fontId="9" fillId="0" borderId="0" xfId="2" applyFont="1" applyAlignment="1">
      <alignment horizontal="center"/>
    </xf>
    <xf numFmtId="0" fontId="7" fillId="0" borderId="0" xfId="2" applyFont="1"/>
    <xf numFmtId="43" fontId="9" fillId="0" borderId="22" xfId="3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43" fontId="9" fillId="0" borderId="10" xfId="3" applyFont="1" applyBorder="1" applyAlignment="1">
      <alignment horizontal="center"/>
    </xf>
    <xf numFmtId="43" fontId="9" fillId="0" borderId="10" xfId="3" applyFont="1" applyBorder="1" applyAlignment="1"/>
    <xf numFmtId="0" fontId="7" fillId="0" borderId="37" xfId="2" applyFont="1" applyBorder="1" applyAlignment="1">
      <alignment horizontal="center"/>
    </xf>
    <xf numFmtId="0" fontId="7" fillId="0" borderId="37" xfId="2" applyFont="1" applyBorder="1" applyAlignment="1">
      <alignment horizontal="left"/>
    </xf>
    <xf numFmtId="43" fontId="7" fillId="0" borderId="37" xfId="3" applyFont="1" applyBorder="1" applyAlignment="1">
      <alignment horizontal="right"/>
    </xf>
    <xf numFmtId="43" fontId="7" fillId="0" borderId="37" xfId="3" applyFont="1" applyBorder="1" applyAlignment="1"/>
    <xf numFmtId="0" fontId="7" fillId="0" borderId="0" xfId="2" applyFont="1" applyAlignment="1">
      <alignment horizontal="center"/>
    </xf>
    <xf numFmtId="4" fontId="7" fillId="0" borderId="0" xfId="2" applyNumberFormat="1" applyFont="1" applyAlignment="1">
      <alignment horizontal="right"/>
    </xf>
    <xf numFmtId="0" fontId="9" fillId="0" borderId="37" xfId="2" applyFont="1" applyBorder="1" applyAlignment="1">
      <alignment horizontal="center"/>
    </xf>
    <xf numFmtId="43" fontId="9" fillId="0" borderId="22" xfId="3" applyFont="1" applyBorder="1" applyAlignment="1"/>
    <xf numFmtId="4" fontId="7" fillId="0" borderId="0" xfId="2" applyNumberFormat="1" applyFont="1" applyBorder="1" applyAlignment="1">
      <alignment horizontal="right"/>
    </xf>
    <xf numFmtId="0" fontId="10" fillId="0" borderId="37" xfId="2" applyFont="1" applyBorder="1" applyAlignment="1">
      <alignment horizontal="left"/>
    </xf>
    <xf numFmtId="43" fontId="9" fillId="0" borderId="38" xfId="3" applyFont="1" applyBorder="1" applyAlignment="1">
      <alignment horizontal="center"/>
    </xf>
    <xf numFmtId="43" fontId="9" fillId="0" borderId="38" xfId="3" applyFont="1" applyBorder="1" applyAlignment="1"/>
    <xf numFmtId="187" fontId="7" fillId="0" borderId="37" xfId="3" applyNumberFormat="1" applyFont="1" applyBorder="1" applyAlignment="1">
      <alignment horizontal="right"/>
    </xf>
    <xf numFmtId="43" fontId="7" fillId="0" borderId="39" xfId="3" applyFont="1" applyBorder="1" applyAlignment="1">
      <alignment horizontal="right"/>
    </xf>
    <xf numFmtId="43" fontId="7" fillId="0" borderId="39" xfId="3" applyFont="1" applyBorder="1" applyAlignment="1"/>
    <xf numFmtId="43" fontId="7" fillId="0" borderId="39" xfId="3" applyFont="1" applyBorder="1" applyAlignment="1">
      <alignment horizontal="center"/>
    </xf>
    <xf numFmtId="0" fontId="7" fillId="0" borderId="40" xfId="2" applyFont="1" applyBorder="1" applyAlignment="1">
      <alignment horizontal="center"/>
    </xf>
    <xf numFmtId="0" fontId="7" fillId="0" borderId="40" xfId="2" applyFont="1" applyBorder="1" applyAlignment="1">
      <alignment horizontal="left"/>
    </xf>
    <xf numFmtId="0" fontId="10" fillId="0" borderId="41" xfId="2" applyFont="1" applyBorder="1" applyAlignment="1">
      <alignment horizontal="left"/>
    </xf>
    <xf numFmtId="0" fontId="9" fillId="0" borderId="41" xfId="2" applyFont="1" applyBorder="1" applyAlignment="1">
      <alignment horizontal="center"/>
    </xf>
    <xf numFmtId="43" fontId="9" fillId="0" borderId="41" xfId="3" applyFont="1" applyBorder="1" applyAlignment="1">
      <alignment horizontal="center"/>
    </xf>
    <xf numFmtId="43" fontId="9" fillId="0" borderId="41" xfId="3" applyFont="1" applyBorder="1" applyAlignment="1"/>
    <xf numFmtId="0" fontId="7" fillId="0" borderId="39" xfId="2" applyFont="1" applyBorder="1" applyAlignment="1">
      <alignment horizontal="center"/>
    </xf>
    <xf numFmtId="0" fontId="7" fillId="0" borderId="39" xfId="2" applyFont="1" applyBorder="1" applyAlignment="1">
      <alignment horizontal="left"/>
    </xf>
    <xf numFmtId="0" fontId="9" fillId="0" borderId="38" xfId="2" applyFont="1" applyBorder="1" applyAlignment="1">
      <alignment horizontal="center"/>
    </xf>
    <xf numFmtId="43" fontId="9" fillId="0" borderId="21" xfId="3" applyFont="1" applyBorder="1" applyAlignment="1"/>
    <xf numFmtId="43" fontId="9" fillId="0" borderId="22" xfId="3" applyFont="1" applyBorder="1" applyAlignment="1">
      <alignment horizontal="right"/>
    </xf>
    <xf numFmtId="0" fontId="10" fillId="0" borderId="38" xfId="2" applyFont="1" applyBorder="1" applyAlignment="1">
      <alignment horizontal="left"/>
    </xf>
    <xf numFmtId="43" fontId="9" fillId="0" borderId="22" xfId="2" applyNumberFormat="1" applyFont="1" applyBorder="1" applyAlignment="1">
      <alignment horizontal="center"/>
    </xf>
    <xf numFmtId="0" fontId="7" fillId="0" borderId="14" xfId="2" applyFont="1" applyBorder="1" applyAlignment="1">
      <alignment horizontal="left"/>
    </xf>
    <xf numFmtId="43" fontId="9" fillId="0" borderId="15" xfId="2" applyNumberFormat="1" applyFont="1" applyBorder="1" applyAlignment="1">
      <alignment horizontal="center"/>
    </xf>
    <xf numFmtId="0" fontId="7" fillId="0" borderId="0" xfId="2" applyFont="1" applyAlignment="1">
      <alignment horizontal="left"/>
    </xf>
    <xf numFmtId="43" fontId="9" fillId="0" borderId="0" xfId="3" applyFont="1" applyAlignment="1"/>
    <xf numFmtId="0" fontId="4" fillId="0" borderId="0" xfId="2" applyFont="1"/>
    <xf numFmtId="43" fontId="7" fillId="0" borderId="0" xfId="3" applyFont="1" applyAlignment="1"/>
    <xf numFmtId="0" fontId="9" fillId="0" borderId="42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8" xfId="2" applyFont="1" applyBorder="1" applyAlignment="1">
      <alignment horizontal="left"/>
    </xf>
    <xf numFmtId="0" fontId="10" fillId="0" borderId="10" xfId="2" applyFont="1" applyBorder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38" xfId="2" applyFont="1" applyBorder="1" applyAlignment="1">
      <alignment horizontal="center"/>
    </xf>
    <xf numFmtId="0" fontId="7" fillId="0" borderId="38" xfId="2" applyFont="1" applyBorder="1" applyAlignment="1">
      <alignment horizontal="left"/>
    </xf>
    <xf numFmtId="0" fontId="9" fillId="0" borderId="38" xfId="2" applyFont="1" applyBorder="1" applyAlignment="1">
      <alignment horizontal="left"/>
    </xf>
    <xf numFmtId="0" fontId="9" fillId="0" borderId="40" xfId="2" applyFont="1" applyBorder="1" applyAlignment="1">
      <alignment horizontal="center"/>
    </xf>
    <xf numFmtId="0" fontId="4" fillId="0" borderId="0" xfId="0" applyFont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3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" fontId="4" fillId="0" borderId="30" xfId="0" applyNumberFormat="1" applyFont="1" applyBorder="1" applyAlignment="1">
      <alignment horizontal="right"/>
    </xf>
    <xf numFmtId="188" fontId="4" fillId="0" borderId="33" xfId="0" applyNumberFormat="1" applyFont="1" applyBorder="1" applyAlignment="1">
      <alignment horizontal="center"/>
    </xf>
    <xf numFmtId="3" fontId="4" fillId="0" borderId="30" xfId="0" applyNumberFormat="1" applyFont="1" applyBorder="1"/>
    <xf numFmtId="41" fontId="4" fillId="0" borderId="30" xfId="0" applyNumberFormat="1" applyFont="1" applyBorder="1" applyAlignment="1">
      <alignment horizontal="right"/>
    </xf>
    <xf numFmtId="188" fontId="4" fillId="0" borderId="31" xfId="0" applyNumberFormat="1" applyFont="1" applyBorder="1" applyAlignment="1">
      <alignment horizontal="center"/>
    </xf>
    <xf numFmtId="188" fontId="4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34" xfId="0" applyNumberFormat="1" applyFont="1" applyBorder="1"/>
    <xf numFmtId="188" fontId="4" fillId="0" borderId="35" xfId="0" applyNumberFormat="1" applyFont="1" applyBorder="1" applyAlignment="1">
      <alignment horizontal="center"/>
    </xf>
    <xf numFmtId="188" fontId="4" fillId="0" borderId="36" xfId="0" applyNumberFormat="1" applyFont="1" applyBorder="1" applyAlignment="1">
      <alignment horizontal="center"/>
    </xf>
    <xf numFmtId="3" fontId="4" fillId="0" borderId="0" xfId="0" applyNumberFormat="1" applyFont="1" applyBorder="1"/>
    <xf numFmtId="188" fontId="4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4" fillId="0" borderId="10" xfId="0" applyFont="1" applyBorder="1" applyAlignment="1">
      <alignment horizontal="left"/>
    </xf>
    <xf numFmtId="0" fontId="4" fillId="0" borderId="37" xfId="0" applyFont="1" applyBorder="1"/>
    <xf numFmtId="0" fontId="4" fillId="0" borderId="14" xfId="0" applyFont="1" applyBorder="1"/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3" fillId="0" borderId="22" xfId="3" applyFont="1" applyBorder="1" applyAlignment="1">
      <alignment horizontal="center"/>
    </xf>
    <xf numFmtId="43" fontId="4" fillId="0" borderId="10" xfId="3" applyFont="1" applyBorder="1" applyAlignment="1"/>
    <xf numFmtId="0" fontId="4" fillId="0" borderId="37" xfId="0" applyFont="1" applyBorder="1" applyAlignment="1">
      <alignment horizontal="center"/>
    </xf>
    <xf numFmtId="43" fontId="4" fillId="0" borderId="37" xfId="3" applyFont="1" applyBorder="1"/>
    <xf numFmtId="43" fontId="4" fillId="0" borderId="37" xfId="3" applyFont="1" applyBorder="1" applyAlignment="1"/>
    <xf numFmtId="43" fontId="4" fillId="0" borderId="14" xfId="3" applyFont="1" applyBorder="1"/>
    <xf numFmtId="43" fontId="3" fillId="0" borderId="15" xfId="0" applyNumberFormat="1" applyFont="1" applyBorder="1"/>
    <xf numFmtId="43" fontId="4" fillId="0" borderId="0" xfId="0" applyNumberFormat="1" applyFont="1" applyBorder="1"/>
    <xf numFmtId="43" fontId="4" fillId="0" borderId="0" xfId="3" applyFont="1" applyBorder="1" applyAlignment="1"/>
    <xf numFmtId="0" fontId="11" fillId="0" borderId="0" xfId="0" applyFont="1"/>
    <xf numFmtId="43" fontId="20" fillId="0" borderId="0" xfId="8" applyFont="1"/>
    <xf numFmtId="0" fontId="4" fillId="0" borderId="23" xfId="0" applyFont="1" applyBorder="1"/>
    <xf numFmtId="0" fontId="4" fillId="0" borderId="25" xfId="0" applyFont="1" applyBorder="1"/>
    <xf numFmtId="0" fontId="4" fillId="0" borderId="0" xfId="2" applyFont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88" fontId="4" fillId="0" borderId="27" xfId="0" applyNumberFormat="1" applyFont="1" applyBorder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Border="1" applyAlignment="1"/>
    <xf numFmtId="0" fontId="21" fillId="0" borderId="22" xfId="0" applyFont="1" applyBorder="1" applyAlignment="1">
      <alignment horizontal="center"/>
    </xf>
    <xf numFmtId="0" fontId="21" fillId="0" borderId="0" xfId="0" applyFont="1"/>
    <xf numFmtId="0" fontId="22" fillId="0" borderId="10" xfId="0" applyFont="1" applyBorder="1"/>
    <xf numFmtId="0" fontId="21" fillId="0" borderId="10" xfId="0" applyFont="1" applyBorder="1"/>
    <xf numFmtId="43" fontId="21" fillId="0" borderId="10" xfId="1" applyFont="1" applyBorder="1" applyAlignment="1">
      <alignment horizontal="center"/>
    </xf>
    <xf numFmtId="43" fontId="21" fillId="0" borderId="10" xfId="1" applyFont="1" applyBorder="1"/>
    <xf numFmtId="43" fontId="22" fillId="0" borderId="15" xfId="0" applyNumberFormat="1" applyFont="1" applyBorder="1"/>
    <xf numFmtId="0" fontId="22" fillId="0" borderId="0" xfId="0" applyFont="1"/>
    <xf numFmtId="0" fontId="22" fillId="0" borderId="14" xfId="0" applyFont="1" applyBorder="1" applyAlignment="1">
      <alignment horizontal="center"/>
    </xf>
    <xf numFmtId="0" fontId="18" fillId="0" borderId="0" xfId="10" applyFont="1"/>
    <xf numFmtId="49" fontId="18" fillId="0" borderId="44" xfId="10" applyNumberFormat="1" applyFont="1" applyBorder="1"/>
    <xf numFmtId="49" fontId="18" fillId="0" borderId="48" xfId="10" applyNumberFormat="1" applyFont="1" applyBorder="1" applyAlignment="1">
      <alignment horizontal="center"/>
    </xf>
    <xf numFmtId="49" fontId="18" fillId="0" borderId="48" xfId="10" applyNumberFormat="1" applyFont="1" applyFill="1" applyBorder="1" applyAlignment="1">
      <alignment horizontal="center"/>
    </xf>
    <xf numFmtId="49" fontId="18" fillId="0" borderId="49" xfId="10" applyNumberFormat="1" applyFont="1" applyFill="1" applyBorder="1" applyAlignment="1">
      <alignment horizontal="center"/>
    </xf>
    <xf numFmtId="49" fontId="8" fillId="0" borderId="0" xfId="10" applyNumberFormat="1" applyFont="1"/>
    <xf numFmtId="49" fontId="18" fillId="0" borderId="50" xfId="10" applyNumberFormat="1" applyFont="1" applyBorder="1"/>
    <xf numFmtId="49" fontId="18" fillId="0" borderId="51" xfId="10" applyNumberFormat="1" applyFont="1" applyBorder="1" applyAlignment="1">
      <alignment horizontal="center"/>
    </xf>
    <xf numFmtId="49" fontId="18" fillId="0" borderId="52" xfId="10" applyNumberFormat="1" applyFont="1" applyBorder="1" applyAlignment="1">
      <alignment horizontal="center"/>
    </xf>
    <xf numFmtId="49" fontId="18" fillId="0" borderId="53" xfId="10" applyNumberFormat="1" applyFont="1" applyBorder="1" applyAlignment="1">
      <alignment horizontal="center"/>
    </xf>
    <xf numFmtId="49" fontId="18" fillId="0" borderId="53" xfId="10" applyNumberFormat="1" applyFont="1" applyFill="1" applyBorder="1" applyAlignment="1">
      <alignment horizontal="center"/>
    </xf>
    <xf numFmtId="49" fontId="8" fillId="0" borderId="53" xfId="10" applyNumberFormat="1" applyFont="1" applyBorder="1"/>
    <xf numFmtId="49" fontId="18" fillId="0" borderId="14" xfId="10" applyNumberFormat="1" applyFont="1" applyBorder="1"/>
    <xf numFmtId="43" fontId="18" fillId="0" borderId="14" xfId="10" applyNumberFormat="1" applyFont="1" applyBorder="1"/>
    <xf numFmtId="43" fontId="18" fillId="0" borderId="25" xfId="10" applyNumberFormat="1" applyFont="1" applyBorder="1"/>
    <xf numFmtId="43" fontId="8" fillId="0" borderId="48" xfId="10" applyNumberFormat="1" applyFont="1" applyBorder="1"/>
    <xf numFmtId="43" fontId="18" fillId="0" borderId="48" xfId="10" applyNumberFormat="1" applyFont="1" applyBorder="1"/>
    <xf numFmtId="0" fontId="8" fillId="0" borderId="0" xfId="10" applyFont="1"/>
    <xf numFmtId="49" fontId="8" fillId="0" borderId="22" xfId="10" applyNumberFormat="1" applyFont="1" applyBorder="1" applyAlignment="1">
      <alignment horizontal="right"/>
    </xf>
    <xf numFmtId="43" fontId="8" fillId="0" borderId="22" xfId="10" applyNumberFormat="1" applyFont="1" applyBorder="1"/>
    <xf numFmtId="43" fontId="8" fillId="0" borderId="42" xfId="10" applyNumberFormat="1" applyFont="1" applyBorder="1"/>
    <xf numFmtId="43" fontId="8" fillId="0" borderId="22" xfId="10" applyNumberFormat="1" applyFont="1" applyBorder="1" applyAlignment="1">
      <alignment horizontal="right"/>
    </xf>
    <xf numFmtId="0" fontId="18" fillId="0" borderId="22" xfId="10" applyFont="1" applyBorder="1"/>
    <xf numFmtId="43" fontId="18" fillId="0" borderId="22" xfId="10" applyNumberFormat="1" applyFont="1" applyBorder="1" applyAlignment="1">
      <alignment horizontal="right"/>
    </xf>
    <xf numFmtId="43" fontId="18" fillId="0" borderId="22" xfId="10" applyNumberFormat="1" applyFont="1" applyBorder="1"/>
    <xf numFmtId="0" fontId="19" fillId="0" borderId="0" xfId="10" applyFont="1"/>
    <xf numFmtId="0" fontId="18" fillId="0" borderId="22" xfId="10" applyFont="1" applyBorder="1" applyAlignment="1">
      <alignment horizontal="left"/>
    </xf>
    <xf numFmtId="43" fontId="18" fillId="0" borderId="42" xfId="10" applyNumberFormat="1" applyFont="1" applyBorder="1"/>
    <xf numFmtId="0" fontId="8" fillId="0" borderId="22" xfId="10" applyFont="1" applyBorder="1"/>
    <xf numFmtId="0" fontId="20" fillId="0" borderId="0" xfId="10" applyFont="1"/>
    <xf numFmtId="0" fontId="18" fillId="0" borderId="0" xfId="10" applyFont="1" applyBorder="1"/>
    <xf numFmtId="43" fontId="18" fillId="0" borderId="0" xfId="10" applyNumberFormat="1" applyFont="1" applyBorder="1" applyAlignment="1">
      <alignment horizontal="right"/>
    </xf>
    <xf numFmtId="43" fontId="8" fillId="0" borderId="0" xfId="10" applyNumberFormat="1" applyFont="1" applyBorder="1"/>
    <xf numFmtId="0" fontId="18" fillId="0" borderId="14" xfId="10" applyFont="1" applyBorder="1" applyAlignment="1">
      <alignment horizontal="left"/>
    </xf>
    <xf numFmtId="43" fontId="18" fillId="0" borderId="14" xfId="10" applyNumberFormat="1" applyFont="1" applyBorder="1" applyAlignment="1">
      <alignment horizontal="right"/>
    </xf>
    <xf numFmtId="43" fontId="18" fillId="0" borderId="25" xfId="10" applyNumberFormat="1" applyFont="1" applyBorder="1" applyAlignment="1">
      <alignment horizontal="right"/>
    </xf>
    <xf numFmtId="43" fontId="18" fillId="0" borderId="42" xfId="10" applyNumberFormat="1" applyFont="1" applyBorder="1" applyAlignment="1">
      <alignment horizontal="right"/>
    </xf>
    <xf numFmtId="187" fontId="8" fillId="0" borderId="22" xfId="10" applyNumberFormat="1" applyFont="1" applyBorder="1" applyAlignment="1">
      <alignment horizontal="right"/>
    </xf>
    <xf numFmtId="187" fontId="18" fillId="0" borderId="22" xfId="10" applyNumberFormat="1" applyFont="1" applyBorder="1" applyAlignment="1">
      <alignment horizontal="right"/>
    </xf>
    <xf numFmtId="0" fontId="18" fillId="0" borderId="14" xfId="10" applyFont="1" applyBorder="1"/>
    <xf numFmtId="0" fontId="18" fillId="0" borderId="0" xfId="10" applyFont="1" applyBorder="1" applyAlignment="1">
      <alignment horizontal="center"/>
    </xf>
    <xf numFmtId="43" fontId="19" fillId="0" borderId="0" xfId="10" applyNumberFormat="1" applyFont="1" applyBorder="1" applyAlignment="1">
      <alignment horizontal="right"/>
    </xf>
    <xf numFmtId="43" fontId="18" fillId="0" borderId="18" xfId="10" applyNumberFormat="1" applyFont="1" applyBorder="1"/>
    <xf numFmtId="0" fontId="8" fillId="0" borderId="22" xfId="10" applyFont="1" applyBorder="1" applyAlignment="1">
      <alignment horizontal="right"/>
    </xf>
    <xf numFmtId="43" fontId="20" fillId="0" borderId="0" xfId="10" applyNumberFormat="1" applyFont="1" applyBorder="1"/>
    <xf numFmtId="43" fontId="8" fillId="0" borderId="22" xfId="10" applyNumberFormat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10" xfId="1" applyFont="1" applyBorder="1"/>
    <xf numFmtId="43" fontId="3" fillId="0" borderId="15" xfId="1" applyFont="1" applyBorder="1"/>
    <xf numFmtId="0" fontId="3" fillId="0" borderId="4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187" fontId="3" fillId="0" borderId="10" xfId="1" applyNumberFormat="1" applyFont="1" applyBorder="1"/>
    <xf numFmtId="43" fontId="3" fillId="0" borderId="18" xfId="1" applyFont="1" applyBorder="1"/>
    <xf numFmtId="43" fontId="3" fillId="0" borderId="22" xfId="1" applyFont="1" applyBorder="1"/>
    <xf numFmtId="0" fontId="3" fillId="0" borderId="2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49" fontId="18" fillId="0" borderId="43" xfId="10" applyNumberFormat="1" applyFont="1" applyBorder="1" applyAlignment="1">
      <alignment horizontal="center"/>
    </xf>
    <xf numFmtId="49" fontId="18" fillId="0" borderId="45" xfId="10" applyNumberFormat="1" applyFont="1" applyBorder="1" applyAlignment="1">
      <alignment horizontal="center"/>
    </xf>
    <xf numFmtId="0" fontId="23" fillId="0" borderId="0" xfId="2" applyFont="1"/>
    <xf numFmtId="0" fontId="24" fillId="0" borderId="0" xfId="2" applyFont="1"/>
    <xf numFmtId="0" fontId="24" fillId="0" borderId="9" xfId="2" applyFont="1" applyBorder="1"/>
    <xf numFmtId="0" fontId="24" fillId="0" borderId="0" xfId="2" applyFont="1" applyAlignment="1">
      <alignment horizontal="left"/>
    </xf>
    <xf numFmtId="0" fontId="24" fillId="0" borderId="17" xfId="2" applyFont="1" applyBorder="1"/>
    <xf numFmtId="0" fontId="24" fillId="0" borderId="25" xfId="2" applyFont="1" applyBorder="1"/>
    <xf numFmtId="0" fontId="24" fillId="0" borderId="0" xfId="2" applyFont="1" applyBorder="1"/>
    <xf numFmtId="0" fontId="24" fillId="0" borderId="8" xfId="2" applyFont="1" applyBorder="1"/>
    <xf numFmtId="49" fontId="24" fillId="0" borderId="0" xfId="2" applyNumberFormat="1" applyFont="1"/>
    <xf numFmtId="4" fontId="24" fillId="0" borderId="0" xfId="2" applyNumberFormat="1" applyFont="1"/>
    <xf numFmtId="4" fontId="24" fillId="0" borderId="8" xfId="2" applyNumberFormat="1" applyFont="1" applyBorder="1"/>
    <xf numFmtId="43" fontId="24" fillId="0" borderId="0" xfId="4" applyFont="1"/>
    <xf numFmtId="0" fontId="24" fillId="0" borderId="0" xfId="2" applyFont="1" applyBorder="1" applyAlignment="1">
      <alignment horizontal="right"/>
    </xf>
    <xf numFmtId="0" fontId="26" fillId="0" borderId="0" xfId="2" applyFont="1"/>
    <xf numFmtId="49" fontId="25" fillId="0" borderId="0" xfId="2" applyNumberFormat="1" applyFont="1"/>
    <xf numFmtId="0" fontId="23" fillId="0" borderId="17" xfId="2" applyFont="1" applyBorder="1"/>
    <xf numFmtId="4" fontId="24" fillId="0" borderId="17" xfId="2" applyNumberFormat="1" applyFont="1" applyBorder="1"/>
    <xf numFmtId="2" fontId="24" fillId="0" borderId="0" xfId="2" applyNumberFormat="1" applyFont="1"/>
    <xf numFmtId="0" fontId="23" fillId="0" borderId="8" xfId="2" applyFont="1" applyBorder="1"/>
    <xf numFmtId="0" fontId="23" fillId="0" borderId="23" xfId="2" applyFont="1" applyBorder="1"/>
    <xf numFmtId="0" fontId="7" fillId="0" borderId="0" xfId="10" applyFont="1"/>
    <xf numFmtId="0" fontId="30" fillId="0" borderId="0" xfId="10" applyFont="1"/>
    <xf numFmtId="49" fontId="31" fillId="0" borderId="44" xfId="10" applyNumberFormat="1" applyFont="1" applyBorder="1"/>
    <xf numFmtId="49" fontId="31" fillId="0" borderId="48" xfId="10" applyNumberFormat="1" applyFont="1" applyBorder="1" applyAlignment="1">
      <alignment horizontal="center"/>
    </xf>
    <xf numFmtId="49" fontId="31" fillId="0" borderId="56" xfId="10" applyNumberFormat="1" applyFont="1" applyBorder="1" applyAlignment="1">
      <alignment horizontal="center"/>
    </xf>
    <xf numFmtId="49" fontId="31" fillId="0" borderId="48" xfId="10" applyNumberFormat="1" applyFont="1" applyFill="1" applyBorder="1" applyAlignment="1">
      <alignment horizontal="center"/>
    </xf>
    <xf numFmtId="49" fontId="31" fillId="0" borderId="49" xfId="10" applyNumberFormat="1" applyFont="1" applyFill="1" applyBorder="1" applyAlignment="1">
      <alignment horizontal="center"/>
    </xf>
    <xf numFmtId="49" fontId="30" fillId="0" borderId="0" xfId="10" applyNumberFormat="1" applyFont="1"/>
    <xf numFmtId="49" fontId="31" fillId="0" borderId="50" xfId="10" applyNumberFormat="1" applyFont="1" applyBorder="1"/>
    <xf numFmtId="49" fontId="31" fillId="0" borderId="51" xfId="10" applyNumberFormat="1" applyFont="1" applyBorder="1" applyAlignment="1">
      <alignment horizontal="center"/>
    </xf>
    <xf numFmtId="49" fontId="31" fillId="0" borderId="52" xfId="10" applyNumberFormat="1" applyFont="1" applyBorder="1" applyAlignment="1">
      <alignment horizontal="center"/>
    </xf>
    <xf numFmtId="49" fontId="31" fillId="0" borderId="53" xfId="10" applyNumberFormat="1" applyFont="1" applyBorder="1" applyAlignment="1">
      <alignment horizontal="center"/>
    </xf>
    <xf numFmtId="49" fontId="31" fillId="0" borderId="57" xfId="10" applyNumberFormat="1" applyFont="1" applyBorder="1" applyAlignment="1">
      <alignment horizontal="center"/>
    </xf>
    <xf numFmtId="49" fontId="31" fillId="0" borderId="53" xfId="10" applyNumberFormat="1" applyFont="1" applyFill="1" applyBorder="1" applyAlignment="1">
      <alignment horizontal="center"/>
    </xf>
    <xf numFmtId="49" fontId="31" fillId="0" borderId="52" xfId="10" applyNumberFormat="1" applyFont="1" applyFill="1" applyBorder="1" applyAlignment="1">
      <alignment horizontal="center"/>
    </xf>
    <xf numFmtId="49" fontId="31" fillId="0" borderId="43" xfId="10" applyNumberFormat="1" applyFont="1" applyBorder="1" applyAlignment="1">
      <alignment horizontal="center"/>
    </xf>
    <xf numFmtId="49" fontId="30" fillId="0" borderId="53" xfId="10" applyNumberFormat="1" applyFont="1" applyBorder="1"/>
    <xf numFmtId="49" fontId="31" fillId="0" borderId="14" xfId="10" applyNumberFormat="1" applyFont="1" applyBorder="1"/>
    <xf numFmtId="43" fontId="31" fillId="0" borderId="14" xfId="10" applyNumberFormat="1" applyFont="1" applyBorder="1"/>
    <xf numFmtId="43" fontId="31" fillId="0" borderId="25" xfId="10" applyNumberFormat="1" applyFont="1" applyBorder="1"/>
    <xf numFmtId="43" fontId="31" fillId="0" borderId="48" xfId="10" applyNumberFormat="1" applyFont="1" applyBorder="1"/>
    <xf numFmtId="43" fontId="30" fillId="0" borderId="48" xfId="10" applyNumberFormat="1" applyFont="1" applyBorder="1"/>
    <xf numFmtId="43" fontId="30" fillId="0" borderId="14" xfId="10" applyNumberFormat="1" applyFont="1" applyBorder="1"/>
    <xf numFmtId="49" fontId="30" fillId="0" borderId="22" xfId="10" applyNumberFormat="1" applyFont="1" applyBorder="1" applyAlignment="1">
      <alignment horizontal="right"/>
    </xf>
    <xf numFmtId="43" fontId="30" fillId="0" borderId="22" xfId="10" applyNumberFormat="1" applyFont="1" applyBorder="1"/>
    <xf numFmtId="0" fontId="31" fillId="0" borderId="22" xfId="10" applyFont="1" applyBorder="1"/>
    <xf numFmtId="43" fontId="31" fillId="0" borderId="22" xfId="10" applyNumberFormat="1" applyFont="1" applyBorder="1" applyAlignment="1">
      <alignment horizontal="right"/>
    </xf>
    <xf numFmtId="0" fontId="31" fillId="0" borderId="0" xfId="10" applyFont="1"/>
    <xf numFmtId="0" fontId="31" fillId="0" borderId="22" xfId="10" applyFont="1" applyBorder="1" applyAlignment="1">
      <alignment horizontal="left"/>
    </xf>
    <xf numFmtId="43" fontId="31" fillId="0" borderId="22" xfId="10" applyNumberFormat="1" applyFont="1" applyBorder="1"/>
    <xf numFmtId="43" fontId="31" fillId="0" borderId="42" xfId="10" applyNumberFormat="1" applyFont="1" applyBorder="1"/>
    <xf numFmtId="0" fontId="30" fillId="0" borderId="22" xfId="10" applyFont="1" applyBorder="1"/>
    <xf numFmtId="43" fontId="30" fillId="0" borderId="22" xfId="10" applyNumberFormat="1" applyFont="1" applyBorder="1" applyAlignment="1">
      <alignment horizontal="right"/>
    </xf>
    <xf numFmtId="0" fontId="31" fillId="0" borderId="14" xfId="10" applyFont="1" applyBorder="1" applyAlignment="1">
      <alignment horizontal="left"/>
    </xf>
    <xf numFmtId="43" fontId="31" fillId="0" borderId="14" xfId="10" applyNumberFormat="1" applyFont="1" applyBorder="1" applyAlignment="1">
      <alignment horizontal="right"/>
    </xf>
    <xf numFmtId="43" fontId="31" fillId="0" borderId="25" xfId="10" applyNumberFormat="1" applyFont="1" applyBorder="1" applyAlignment="1">
      <alignment horizontal="right"/>
    </xf>
    <xf numFmtId="0" fontId="31" fillId="0" borderId="0" xfId="10" applyFont="1" applyBorder="1"/>
    <xf numFmtId="43" fontId="31" fillId="0" borderId="0" xfId="10" applyNumberFormat="1" applyFont="1" applyBorder="1" applyAlignment="1">
      <alignment horizontal="right"/>
    </xf>
    <xf numFmtId="43" fontId="30" fillId="0" borderId="0" xfId="10" applyNumberFormat="1" applyFont="1" applyBorder="1"/>
    <xf numFmtId="43" fontId="31" fillId="0" borderId="42" xfId="10" applyNumberFormat="1" applyFont="1" applyBorder="1" applyAlignment="1">
      <alignment horizontal="right"/>
    </xf>
    <xf numFmtId="43" fontId="30" fillId="0" borderId="18" xfId="10" applyNumberFormat="1" applyFont="1" applyBorder="1"/>
    <xf numFmtId="43" fontId="31" fillId="0" borderId="18" xfId="10" applyNumberFormat="1" applyFont="1" applyBorder="1"/>
    <xf numFmtId="0" fontId="30" fillId="0" borderId="22" xfId="10" applyFont="1" applyBorder="1" applyAlignment="1">
      <alignment horizontal="right"/>
    </xf>
    <xf numFmtId="0" fontId="32" fillId="0" borderId="0" xfId="10" applyFont="1"/>
    <xf numFmtId="0" fontId="33" fillId="0" borderId="0" xfId="10" applyFont="1" applyBorder="1"/>
    <xf numFmtId="43" fontId="31" fillId="0" borderId="20" xfId="10" applyNumberFormat="1" applyFont="1" applyBorder="1"/>
    <xf numFmtId="43" fontId="31" fillId="0" borderId="0" xfId="10" applyNumberFormat="1" applyFont="1" applyBorder="1"/>
    <xf numFmtId="43" fontId="30" fillId="0" borderId="20" xfId="10" applyNumberFormat="1" applyFont="1" applyBorder="1"/>
    <xf numFmtId="0" fontId="32" fillId="0" borderId="0" xfId="10" applyFont="1" applyBorder="1"/>
    <xf numFmtId="0" fontId="31" fillId="0" borderId="0" xfId="10" applyFont="1" applyBorder="1" applyAlignment="1">
      <alignment horizontal="center"/>
    </xf>
    <xf numFmtId="43" fontId="31" fillId="0" borderId="0" xfId="10" applyNumberFormat="1" applyFont="1" applyBorder="1" applyAlignment="1"/>
    <xf numFmtId="43" fontId="31" fillId="0" borderId="0" xfId="10" applyNumberFormat="1" applyFont="1" applyBorder="1" applyAlignment="1">
      <alignment horizontal="center"/>
    </xf>
    <xf numFmtId="0" fontId="30" fillId="0" borderId="0" xfId="10" applyFont="1" applyBorder="1"/>
    <xf numFmtId="43" fontId="24" fillId="0" borderId="0" xfId="1" applyFont="1"/>
    <xf numFmtId="43" fontId="18" fillId="0" borderId="0" xfId="10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49" fontId="24" fillId="0" borderId="0" xfId="2" applyNumberFormat="1" applyFont="1" applyAlignment="1">
      <alignment horizontal="right"/>
    </xf>
    <xf numFmtId="4" fontId="24" fillId="0" borderId="0" xfId="2" applyNumberFormat="1" applyFont="1" applyAlignment="1">
      <alignment horizontal="right"/>
    </xf>
    <xf numFmtId="43" fontId="24" fillId="0" borderId="0" xfId="4" applyFont="1" applyAlignment="1"/>
    <xf numFmtId="43" fontId="18" fillId="0" borderId="0" xfId="10" applyNumberFormat="1" applyFont="1" applyBorder="1" applyAlignment="1">
      <alignment horizontal="center"/>
    </xf>
    <xf numFmtId="43" fontId="18" fillId="0" borderId="0" xfId="10" applyNumberFormat="1" applyFont="1" applyBorder="1"/>
    <xf numFmtId="0" fontId="4" fillId="0" borderId="38" xfId="0" applyFont="1" applyBorder="1"/>
    <xf numFmtId="43" fontId="4" fillId="0" borderId="38" xfId="3" applyFont="1" applyBorder="1" applyAlignment="1"/>
    <xf numFmtId="0" fontId="31" fillId="0" borderId="0" xfId="2" applyFont="1"/>
    <xf numFmtId="0" fontId="30" fillId="0" borderId="0" xfId="2" applyFont="1"/>
    <xf numFmtId="0" fontId="30" fillId="0" borderId="9" xfId="2" applyFont="1" applyBorder="1"/>
    <xf numFmtId="0" fontId="30" fillId="0" borderId="0" xfId="2" applyFont="1" applyAlignment="1">
      <alignment horizontal="left"/>
    </xf>
    <xf numFmtId="0" fontId="30" fillId="0" borderId="17" xfId="2" applyFont="1" applyBorder="1"/>
    <xf numFmtId="0" fontId="30" fillId="0" borderId="25" xfId="2" applyFont="1" applyBorder="1"/>
    <xf numFmtId="0" fontId="30" fillId="0" borderId="0" xfId="2" applyFont="1" applyBorder="1"/>
    <xf numFmtId="0" fontId="30" fillId="0" borderId="8" xfId="2" applyFont="1" applyBorder="1"/>
    <xf numFmtId="49" fontId="30" fillId="0" borderId="0" xfId="2" applyNumberFormat="1" applyFont="1"/>
    <xf numFmtId="43" fontId="30" fillId="0" borderId="0" xfId="1" applyFont="1"/>
    <xf numFmtId="4" fontId="30" fillId="0" borderId="0" xfId="2" applyNumberFormat="1" applyFont="1"/>
    <xf numFmtId="4" fontId="30" fillId="0" borderId="8" xfId="2" applyNumberFormat="1" applyFont="1" applyBorder="1"/>
    <xf numFmtId="43" fontId="30" fillId="0" borderId="0" xfId="4" applyFont="1"/>
    <xf numFmtId="0" fontId="30" fillId="0" borderId="0" xfId="2" applyFont="1" applyBorder="1" applyAlignment="1">
      <alignment horizontal="right"/>
    </xf>
    <xf numFmtId="0" fontId="34" fillId="0" borderId="0" xfId="2" applyFont="1"/>
    <xf numFmtId="0" fontId="31" fillId="0" borderId="17" xfId="2" applyFont="1" applyBorder="1"/>
    <xf numFmtId="4" fontId="30" fillId="0" borderId="17" xfId="2" applyNumberFormat="1" applyFont="1" applyBorder="1"/>
    <xf numFmtId="2" fontId="30" fillId="0" borderId="0" xfId="2" applyNumberFormat="1" applyFont="1"/>
    <xf numFmtId="0" fontId="31" fillId="0" borderId="8" xfId="2" applyFont="1" applyBorder="1"/>
    <xf numFmtId="0" fontId="31" fillId="0" borderId="23" xfId="2" applyFont="1" applyBorder="1"/>
    <xf numFmtId="49" fontId="30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0" fontId="4" fillId="0" borderId="40" xfId="0" applyFont="1" applyBorder="1" applyAlignment="1">
      <alignment horizontal="center"/>
    </xf>
    <xf numFmtId="43" fontId="36" fillId="0" borderId="10" xfId="3" applyFont="1" applyBorder="1" applyAlignment="1"/>
    <xf numFmtId="43" fontId="4" fillId="0" borderId="10" xfId="3" applyFont="1" applyBorder="1"/>
    <xf numFmtId="43" fontId="4" fillId="0" borderId="38" xfId="3" applyFont="1" applyBorder="1"/>
    <xf numFmtId="2" fontId="3" fillId="0" borderId="0" xfId="0" applyNumberFormat="1" applyFont="1"/>
    <xf numFmtId="43" fontId="9" fillId="0" borderId="21" xfId="3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left"/>
    </xf>
    <xf numFmtId="43" fontId="9" fillId="0" borderId="0" xfId="3" applyFont="1" applyBorder="1" applyAlignment="1">
      <alignment horizontal="center"/>
    </xf>
    <xf numFmtId="43" fontId="9" fillId="0" borderId="0" xfId="3" applyFont="1" applyBorder="1" applyAlignment="1"/>
    <xf numFmtId="49" fontId="18" fillId="0" borderId="45" xfId="10" applyNumberFormat="1" applyFont="1" applyBorder="1" applyAlignment="1">
      <alignment horizontal="center"/>
    </xf>
    <xf numFmtId="49" fontId="18" fillId="0" borderId="43" xfId="10" applyNumberFormat="1" applyFont="1" applyBorder="1" applyAlignment="1">
      <alignment horizontal="center"/>
    </xf>
    <xf numFmtId="0" fontId="18" fillId="0" borderId="20" xfId="10" applyFont="1" applyBorder="1"/>
    <xf numFmtId="43" fontId="18" fillId="0" borderId="20" xfId="10" applyNumberFormat="1" applyFont="1" applyBorder="1" applyAlignment="1">
      <alignment horizontal="right"/>
    </xf>
    <xf numFmtId="43" fontId="18" fillId="0" borderId="20" xfId="10" applyNumberFormat="1" applyFont="1" applyBorder="1"/>
    <xf numFmtId="43" fontId="8" fillId="0" borderId="20" xfId="10" applyNumberFormat="1" applyFont="1" applyBorder="1"/>
    <xf numFmtId="43" fontId="30" fillId="0" borderId="8" xfId="2" applyNumberFormat="1" applyFont="1" applyBorder="1" applyAlignment="1">
      <alignment horizontal="right"/>
    </xf>
    <xf numFmtId="4" fontId="30" fillId="0" borderId="8" xfId="2" applyNumberFormat="1" applyFont="1" applyBorder="1" applyAlignment="1">
      <alignment horizontal="center"/>
    </xf>
    <xf numFmtId="4" fontId="30" fillId="0" borderId="0" xfId="2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43" fontId="24" fillId="0" borderId="8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right"/>
    </xf>
    <xf numFmtId="4" fontId="24" fillId="0" borderId="0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187" fontId="18" fillId="0" borderId="22" xfId="10" applyNumberFormat="1" applyFont="1" applyBorder="1"/>
    <xf numFmtId="49" fontId="30" fillId="0" borderId="0" xfId="2" applyNumberFormat="1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9" fillId="0" borderId="17" xfId="2" applyNumberFormat="1" applyFont="1" applyBorder="1" applyAlignment="1">
      <alignment horizontal="center"/>
    </xf>
    <xf numFmtId="0" fontId="9" fillId="0" borderId="0" xfId="2" applyFont="1" applyAlignment="1">
      <alignment horizontal="right"/>
    </xf>
    <xf numFmtId="0" fontId="3" fillId="0" borderId="0" xfId="2" applyFont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23" xfId="2" applyFont="1" applyBorder="1" applyAlignment="1">
      <alignment horizontal="center"/>
    </xf>
    <xf numFmtId="0" fontId="9" fillId="0" borderId="21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0" fontId="3" fillId="0" borderId="0" xfId="0" applyFont="1" applyAlignment="1">
      <alignment horizontal="right"/>
    </xf>
    <xf numFmtId="4" fontId="30" fillId="0" borderId="8" xfId="2" applyNumberFormat="1" applyFont="1" applyBorder="1" applyAlignment="1">
      <alignment horizontal="right"/>
    </xf>
    <xf numFmtId="4" fontId="30" fillId="0" borderId="0" xfId="2" applyNumberFormat="1" applyFont="1" applyBorder="1" applyAlignment="1">
      <alignment horizontal="right"/>
    </xf>
    <xf numFmtId="43" fontId="30" fillId="0" borderId="8" xfId="2" applyNumberFormat="1" applyFont="1" applyBorder="1" applyAlignment="1">
      <alignment horizontal="right"/>
    </xf>
    <xf numFmtId="43" fontId="30" fillId="0" borderId="0" xfId="2" applyNumberFormat="1" applyFont="1" applyBorder="1" applyAlignment="1">
      <alignment horizontal="right"/>
    </xf>
    <xf numFmtId="43" fontId="30" fillId="0" borderId="23" xfId="4" applyFont="1" applyBorder="1" applyAlignment="1">
      <alignment horizontal="right"/>
    </xf>
    <xf numFmtId="43" fontId="30" fillId="0" borderId="17" xfId="4" applyFont="1" applyBorder="1" applyAlignment="1">
      <alignment horizontal="right"/>
    </xf>
    <xf numFmtId="0" fontId="31" fillId="0" borderId="17" xfId="2" applyFont="1" applyBorder="1" applyAlignment="1">
      <alignment horizontal="center"/>
    </xf>
    <xf numFmtId="0" fontId="31" fillId="0" borderId="7" xfId="2" applyFont="1" applyBorder="1" applyAlignment="1">
      <alignment horizontal="left"/>
    </xf>
    <xf numFmtId="0" fontId="31" fillId="0" borderId="20" xfId="2" applyFont="1" applyBorder="1" applyAlignment="1">
      <alignment horizontal="left"/>
    </xf>
    <xf numFmtId="43" fontId="30" fillId="0" borderId="7" xfId="4" applyFont="1" applyBorder="1" applyAlignment="1">
      <alignment horizontal="right"/>
    </xf>
    <xf numFmtId="43" fontId="30" fillId="0" borderId="20" xfId="4" applyFont="1" applyBorder="1" applyAlignment="1">
      <alignment horizontal="right"/>
    </xf>
    <xf numFmtId="4" fontId="30" fillId="0" borderId="8" xfId="2" applyNumberFormat="1" applyFont="1" applyBorder="1" applyAlignment="1">
      <alignment horizontal="center"/>
    </xf>
    <xf numFmtId="4" fontId="30" fillId="0" borderId="0" xfId="2" applyNumberFormat="1" applyFont="1" applyBorder="1" applyAlignment="1">
      <alignment horizontal="center"/>
    </xf>
    <xf numFmtId="49" fontId="30" fillId="0" borderId="0" xfId="2" applyNumberFormat="1" applyFont="1" applyBorder="1" applyAlignment="1">
      <alignment horizontal="center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" fontId="24" fillId="0" borderId="8" xfId="2" applyNumberFormat="1" applyFont="1" applyBorder="1" applyAlignment="1">
      <alignment horizontal="right"/>
    </xf>
    <xf numFmtId="4" fontId="24" fillId="0" borderId="0" xfId="2" applyNumberFormat="1" applyFont="1" applyBorder="1" applyAlignment="1">
      <alignment horizontal="right"/>
    </xf>
    <xf numFmtId="43" fontId="24" fillId="0" borderId="8" xfId="2" applyNumberFormat="1" applyFont="1" applyBorder="1" applyAlignment="1">
      <alignment horizontal="right"/>
    </xf>
    <xf numFmtId="43" fontId="24" fillId="0" borderId="0" xfId="2" applyNumberFormat="1" applyFont="1" applyBorder="1" applyAlignment="1">
      <alignment horizontal="right"/>
    </xf>
    <xf numFmtId="43" fontId="24" fillId="0" borderId="23" xfId="4" applyFont="1" applyBorder="1" applyAlignment="1">
      <alignment horizontal="right"/>
    </xf>
    <xf numFmtId="43" fontId="24" fillId="0" borderId="17" xfId="4" applyFont="1" applyBorder="1" applyAlignment="1">
      <alignment horizontal="right"/>
    </xf>
    <xf numFmtId="0" fontId="23" fillId="0" borderId="17" xfId="2" applyFont="1" applyBorder="1" applyAlignment="1">
      <alignment horizontal="center"/>
    </xf>
    <xf numFmtId="0" fontId="23" fillId="0" borderId="7" xfId="2" applyFont="1" applyBorder="1" applyAlignment="1">
      <alignment horizontal="left"/>
    </xf>
    <xf numFmtId="0" fontId="23" fillId="0" borderId="20" xfId="2" applyFont="1" applyBorder="1" applyAlignment="1">
      <alignment horizontal="left"/>
    </xf>
    <xf numFmtId="43" fontId="24" fillId="0" borderId="7" xfId="4" applyFont="1" applyBorder="1" applyAlignment="1">
      <alignment horizontal="right"/>
    </xf>
    <xf numFmtId="43" fontId="24" fillId="0" borderId="20" xfId="4" applyFont="1" applyBorder="1" applyAlignment="1">
      <alignment horizontal="right"/>
    </xf>
    <xf numFmtId="49" fontId="24" fillId="0" borderId="0" xfId="2" applyNumberFormat="1" applyFont="1" applyAlignment="1">
      <alignment horizontal="center"/>
    </xf>
    <xf numFmtId="49" fontId="18" fillId="0" borderId="43" xfId="10" applyNumberFormat="1" applyFont="1" applyBorder="1" applyAlignment="1">
      <alignment horizontal="center"/>
    </xf>
    <xf numFmtId="49" fontId="18" fillId="0" borderId="45" xfId="10" applyNumberFormat="1" applyFont="1" applyBorder="1" applyAlignment="1">
      <alignment horizontal="center"/>
    </xf>
    <xf numFmtId="49" fontId="18" fillId="0" borderId="46" xfId="10" applyNumberFormat="1" applyFont="1" applyBorder="1" applyAlignment="1">
      <alignment horizontal="center"/>
    </xf>
    <xf numFmtId="49" fontId="18" fillId="0" borderId="47" xfId="10" applyNumberFormat="1" applyFont="1" applyBorder="1" applyAlignment="1">
      <alignment horizontal="center"/>
    </xf>
    <xf numFmtId="49" fontId="18" fillId="0" borderId="45" xfId="10" applyNumberFormat="1" applyFont="1" applyFill="1" applyBorder="1" applyAlignment="1">
      <alignment horizontal="center"/>
    </xf>
    <xf numFmtId="49" fontId="18" fillId="0" borderId="47" xfId="10" applyNumberFormat="1" applyFont="1" applyFill="1" applyBorder="1" applyAlignment="1">
      <alignment horizontal="center"/>
    </xf>
    <xf numFmtId="0" fontId="18" fillId="0" borderId="43" xfId="10" applyFont="1" applyBorder="1" applyAlignment="1">
      <alignment horizontal="center"/>
    </xf>
    <xf numFmtId="0" fontId="13" fillId="0" borderId="0" xfId="10" applyFont="1" applyAlignment="1">
      <alignment horizontal="center"/>
    </xf>
    <xf numFmtId="0" fontId="13" fillId="0" borderId="43" xfId="10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0" fontId="28" fillId="0" borderId="0" xfId="10" applyFont="1" applyAlignment="1">
      <alignment horizontal="center"/>
    </xf>
    <xf numFmtId="0" fontId="29" fillId="0" borderId="0" xfId="10" applyFont="1" applyAlignment="1">
      <alignment horizontal="center"/>
    </xf>
    <xf numFmtId="0" fontId="29" fillId="0" borderId="43" xfId="10" applyFont="1" applyBorder="1" applyAlignment="1">
      <alignment horizontal="center"/>
    </xf>
    <xf numFmtId="49" fontId="31" fillId="0" borderId="45" xfId="10" applyNumberFormat="1" applyFont="1" applyBorder="1" applyAlignment="1">
      <alignment horizontal="center"/>
    </xf>
    <xf numFmtId="49" fontId="31" fillId="0" borderId="46" xfId="10" applyNumberFormat="1" applyFont="1" applyBorder="1" applyAlignment="1">
      <alignment horizontal="center"/>
    </xf>
    <xf numFmtId="49" fontId="31" fillId="0" borderId="47" xfId="10" applyNumberFormat="1" applyFont="1" applyBorder="1" applyAlignment="1">
      <alignment horizontal="center"/>
    </xf>
    <xf numFmtId="49" fontId="31" fillId="0" borderId="45" xfId="10" applyNumberFormat="1" applyFont="1" applyFill="1" applyBorder="1" applyAlignment="1">
      <alignment horizontal="center"/>
    </xf>
    <xf numFmtId="49" fontId="31" fillId="0" borderId="47" xfId="10" applyNumberFormat="1" applyFont="1" applyFill="1" applyBorder="1" applyAlignment="1">
      <alignment horizontal="center"/>
    </xf>
    <xf numFmtId="0" fontId="31" fillId="0" borderId="43" xfId="10" applyFont="1" applyBorder="1" applyAlignment="1">
      <alignment horizontal="center"/>
    </xf>
    <xf numFmtId="49" fontId="31" fillId="0" borderId="0" xfId="10" applyNumberFormat="1" applyFont="1" applyBorder="1" applyAlignment="1">
      <alignment horizontal="center"/>
    </xf>
  </cellXfs>
  <cellStyles count="11">
    <cellStyle name="เครื่องหมายจุลภาค" xfId="1" builtinId="3"/>
    <cellStyle name="เครื่องหมายจุลภาค 2" xfId="3"/>
    <cellStyle name="เครื่องหมายจุลภาค 2 2" xfId="4"/>
    <cellStyle name="เครื่องหมายจุลภาค 3" xfId="5"/>
    <cellStyle name="เครื่องหมายจุลภาค 3 2" xfId="8"/>
    <cellStyle name="เครื่องหมายจุลภาค 4" xfId="7"/>
    <cellStyle name="ปกติ" xfId="0" builtinId="0"/>
    <cellStyle name="ปกติ 2" xfId="2"/>
    <cellStyle name="ปกติ 3" xfId="6"/>
    <cellStyle name="ปกติ 4" xfId="9"/>
    <cellStyle name="ปกติ 4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view="pageBreakPreview" zoomScaleSheetLayoutView="100" workbookViewId="0">
      <selection activeCell="E74" sqref="E74:H74"/>
    </sheetView>
  </sheetViews>
  <sheetFormatPr defaultRowHeight="21.95" customHeight="1"/>
  <cols>
    <col min="1" max="1" width="12" style="4" bestFit="1" customWidth="1"/>
    <col min="2" max="2" width="13.625" style="4" bestFit="1" customWidth="1"/>
    <col min="3" max="4" width="12" style="4" bestFit="1" customWidth="1"/>
    <col min="5" max="5" width="5.375" style="3" customWidth="1"/>
    <col min="6" max="6" width="22.625" style="3" customWidth="1"/>
    <col min="7" max="7" width="6.5" style="27" customWidth="1"/>
    <col min="8" max="8" width="7.875" style="45" bestFit="1" customWidth="1"/>
    <col min="9" max="9" width="12" style="4" bestFit="1" customWidth="1"/>
    <col min="10" max="10" width="9.125" style="3" bestFit="1" customWidth="1"/>
    <col min="11" max="15" width="9" style="4"/>
    <col min="16" max="16384" width="9" style="3"/>
  </cols>
  <sheetData>
    <row r="1" spans="1:15" s="1" customFormat="1" ht="29.1" customHeight="1">
      <c r="A1" s="379" t="s">
        <v>0</v>
      </c>
      <c r="B1" s="379"/>
      <c r="C1" s="379"/>
      <c r="D1" s="379"/>
      <c r="E1" s="379"/>
      <c r="F1" s="379"/>
      <c r="G1" s="379"/>
      <c r="H1" s="379"/>
      <c r="I1" s="379"/>
      <c r="K1" s="2"/>
      <c r="L1" s="2"/>
      <c r="M1" s="2"/>
      <c r="N1" s="2"/>
      <c r="O1" s="2"/>
    </row>
    <row r="2" spans="1:15" s="1" customFormat="1" ht="29.1" customHeight="1">
      <c r="A2" s="379" t="s">
        <v>1</v>
      </c>
      <c r="B2" s="379"/>
      <c r="C2" s="379"/>
      <c r="D2" s="379"/>
      <c r="E2" s="379"/>
      <c r="F2" s="379"/>
      <c r="G2" s="379"/>
      <c r="H2" s="379"/>
      <c r="I2" s="379"/>
      <c r="K2" s="2"/>
      <c r="L2" s="2"/>
      <c r="M2" s="2"/>
      <c r="N2" s="2"/>
      <c r="O2" s="2"/>
    </row>
    <row r="3" spans="1:15" s="1" customFormat="1" ht="29.1" customHeight="1">
      <c r="A3" s="379" t="s">
        <v>2</v>
      </c>
      <c r="B3" s="379"/>
      <c r="C3" s="379"/>
      <c r="D3" s="379"/>
      <c r="E3" s="379"/>
      <c r="F3" s="379"/>
      <c r="G3" s="379"/>
      <c r="H3" s="379"/>
      <c r="I3" s="379"/>
      <c r="K3" s="2"/>
      <c r="L3" s="2"/>
      <c r="M3" s="2"/>
      <c r="N3" s="2"/>
      <c r="O3" s="2"/>
    </row>
    <row r="4" spans="1:15" s="1" customFormat="1" ht="28.5" customHeight="1" thickBot="1">
      <c r="A4" s="380" t="s">
        <v>281</v>
      </c>
      <c r="B4" s="380"/>
      <c r="C4" s="380"/>
      <c r="D4" s="380"/>
      <c r="E4" s="380"/>
      <c r="F4" s="380"/>
      <c r="G4" s="380"/>
      <c r="H4" s="380"/>
      <c r="I4" s="380"/>
      <c r="K4" s="2"/>
      <c r="L4" s="2"/>
      <c r="M4" s="2"/>
      <c r="N4" s="2"/>
      <c r="O4" s="2"/>
    </row>
    <row r="5" spans="1:15" ht="22.5" customHeight="1" thickTop="1">
      <c r="A5" s="381" t="s">
        <v>3</v>
      </c>
      <c r="B5" s="382"/>
      <c r="C5" s="382"/>
      <c r="D5" s="382"/>
      <c r="E5" s="383"/>
      <c r="F5" s="384"/>
      <c r="G5" s="225"/>
      <c r="H5" s="5"/>
      <c r="I5" s="207" t="s">
        <v>184</v>
      </c>
    </row>
    <row r="6" spans="1:15" ht="22.5" customHeight="1">
      <c r="A6" s="6" t="s">
        <v>5</v>
      </c>
      <c r="B6" s="6" t="s">
        <v>180</v>
      </c>
      <c r="C6" s="6" t="s">
        <v>109</v>
      </c>
      <c r="D6" s="223" t="s">
        <v>6</v>
      </c>
      <c r="E6" s="363" t="s">
        <v>7</v>
      </c>
      <c r="F6" s="364"/>
      <c r="G6" s="365"/>
      <c r="H6" s="7" t="s">
        <v>8</v>
      </c>
      <c r="I6" s="8" t="s">
        <v>4</v>
      </c>
    </row>
    <row r="7" spans="1:15" ht="22.5" customHeight="1">
      <c r="A7" s="206" t="s">
        <v>183</v>
      </c>
      <c r="B7" s="206" t="s">
        <v>181</v>
      </c>
      <c r="C7" s="206" t="s">
        <v>183</v>
      </c>
      <c r="D7" s="217" t="s">
        <v>183</v>
      </c>
      <c r="E7" s="217"/>
      <c r="F7" s="218"/>
      <c r="G7" s="218"/>
      <c r="H7" s="7"/>
      <c r="I7" s="8" t="s">
        <v>185</v>
      </c>
    </row>
    <row r="8" spans="1:15" ht="21.75" customHeight="1" thickBot="1">
      <c r="A8" s="9"/>
      <c r="B8" s="9" t="s">
        <v>182</v>
      </c>
      <c r="C8" s="9"/>
      <c r="D8" s="220"/>
      <c r="E8" s="366"/>
      <c r="F8" s="367"/>
      <c r="G8" s="221"/>
      <c r="H8" s="10" t="s">
        <v>10</v>
      </c>
      <c r="I8" s="11" t="s">
        <v>183</v>
      </c>
    </row>
    <row r="9" spans="1:15" ht="21.95" customHeight="1" thickTop="1">
      <c r="A9" s="12"/>
      <c r="B9" s="12"/>
      <c r="C9" s="12"/>
      <c r="D9" s="13">
        <v>8538109.0399999991</v>
      </c>
      <c r="E9" s="14" t="s">
        <v>11</v>
      </c>
      <c r="F9" s="14"/>
      <c r="G9" s="15"/>
      <c r="H9" s="5"/>
      <c r="I9" s="16">
        <v>8277040.7999999998</v>
      </c>
    </row>
    <row r="10" spans="1:15" ht="21.95" customHeight="1">
      <c r="A10" s="17"/>
      <c r="B10" s="17"/>
      <c r="C10" s="17"/>
      <c r="D10" s="16"/>
      <c r="E10" s="18" t="s">
        <v>58</v>
      </c>
      <c r="F10" s="18"/>
      <c r="G10" s="19"/>
      <c r="H10" s="20"/>
      <c r="I10" s="16"/>
    </row>
    <row r="11" spans="1:15" ht="21.95" customHeight="1">
      <c r="A11" s="17">
        <f>'รายรับจริง(มห.1) (2)'!D12</f>
        <v>152500</v>
      </c>
      <c r="B11" s="17">
        <v>0</v>
      </c>
      <c r="C11" s="17">
        <f>A11+B11</f>
        <v>152500</v>
      </c>
      <c r="D11" s="16">
        <f>248.1+1462.3</f>
        <v>1710.3999999999999</v>
      </c>
      <c r="F11" s="21" t="s">
        <v>12</v>
      </c>
      <c r="G11" s="22"/>
      <c r="H11" s="20" t="s">
        <v>231</v>
      </c>
      <c r="I11" s="23">
        <v>1462.3</v>
      </c>
    </row>
    <row r="12" spans="1:15" ht="21.95" customHeight="1">
      <c r="A12" s="24">
        <f>'รายรับจริง(มห.1) (2)'!D24</f>
        <v>102900</v>
      </c>
      <c r="B12" s="24">
        <v>0</v>
      </c>
      <c r="C12" s="17">
        <f t="shared" ref="C12:C19" si="0">A12+B12</f>
        <v>102900</v>
      </c>
      <c r="D12" s="23">
        <f>3359+5575</f>
        <v>8934</v>
      </c>
      <c r="F12" s="21" t="s">
        <v>13</v>
      </c>
      <c r="G12" s="22"/>
      <c r="H12" s="20" t="s">
        <v>232</v>
      </c>
      <c r="I12" s="23">
        <v>5575</v>
      </c>
    </row>
    <row r="13" spans="1:15" ht="21.95" customHeight="1">
      <c r="A13" s="24">
        <f>'รายรับจริง(มห.1) (2)'!D27</f>
        <v>60000</v>
      </c>
      <c r="B13" s="24">
        <v>0</v>
      </c>
      <c r="C13" s="17">
        <f t="shared" si="0"/>
        <v>60000</v>
      </c>
      <c r="D13" s="23">
        <v>0</v>
      </c>
      <c r="F13" s="21" t="s">
        <v>14</v>
      </c>
      <c r="G13" s="22"/>
      <c r="H13" s="20" t="s">
        <v>233</v>
      </c>
      <c r="I13" s="23">
        <v>0</v>
      </c>
    </row>
    <row r="14" spans="1:15" ht="21.95" customHeight="1">
      <c r="A14" s="24">
        <f>'รายรับจริง(มห.1) (2)'!D30</f>
        <v>600000</v>
      </c>
      <c r="B14" s="24">
        <v>0</v>
      </c>
      <c r="C14" s="17">
        <f t="shared" si="0"/>
        <v>600000</v>
      </c>
      <c r="D14" s="23">
        <f>28596+56352</f>
        <v>84948</v>
      </c>
      <c r="F14" s="21" t="s">
        <v>15</v>
      </c>
      <c r="G14" s="22"/>
      <c r="H14" s="20" t="s">
        <v>234</v>
      </c>
      <c r="I14" s="23">
        <v>56352</v>
      </c>
    </row>
    <row r="15" spans="1:15" ht="21.95" customHeight="1">
      <c r="A15" s="24">
        <f>'รายรับจริง(มห.1) (2)'!D34</f>
        <v>50000</v>
      </c>
      <c r="B15" s="24">
        <v>0</v>
      </c>
      <c r="C15" s="17">
        <f t="shared" si="0"/>
        <v>50000</v>
      </c>
      <c r="D15" s="23">
        <v>0</v>
      </c>
      <c r="F15" s="21" t="s">
        <v>16</v>
      </c>
      <c r="G15" s="22"/>
      <c r="H15" s="20" t="s">
        <v>235</v>
      </c>
      <c r="I15" s="25">
        <v>0</v>
      </c>
    </row>
    <row r="16" spans="1:15" ht="21.95" customHeight="1">
      <c r="A16" s="26">
        <f>'รายรับจริง(มห.1) (2)'!D43</f>
        <v>1000</v>
      </c>
      <c r="B16" s="26">
        <v>0</v>
      </c>
      <c r="C16" s="17">
        <f t="shared" si="0"/>
        <v>1000</v>
      </c>
      <c r="D16" s="25">
        <v>0</v>
      </c>
      <c r="F16" s="21" t="s">
        <v>17</v>
      </c>
      <c r="G16" s="22"/>
      <c r="H16" s="20" t="s">
        <v>236</v>
      </c>
      <c r="I16" s="25">
        <v>0</v>
      </c>
    </row>
    <row r="17" spans="1:9" ht="21.95" customHeight="1">
      <c r="A17" s="26">
        <f>'รายรับจริง(มห.1) (2)'!D57</f>
        <v>14890000</v>
      </c>
      <c r="B17" s="26">
        <v>0</v>
      </c>
      <c r="C17" s="17">
        <f t="shared" si="0"/>
        <v>14890000</v>
      </c>
      <c r="D17" s="25">
        <f>47628+2300959.88</f>
        <v>2348587.88</v>
      </c>
      <c r="F17" s="21" t="s">
        <v>18</v>
      </c>
      <c r="G17" s="22"/>
      <c r="H17" s="20" t="s">
        <v>237</v>
      </c>
      <c r="I17" s="25">
        <v>2300959.88</v>
      </c>
    </row>
    <row r="18" spans="1:9" ht="21.95" customHeight="1">
      <c r="A18" s="24">
        <f>'รายรับจริง(มห.1) (2)'!D60</f>
        <v>20000000</v>
      </c>
      <c r="B18" s="24">
        <v>0</v>
      </c>
      <c r="C18" s="17">
        <f t="shared" si="0"/>
        <v>20000000</v>
      </c>
      <c r="D18" s="23">
        <v>5410196</v>
      </c>
      <c r="F18" s="21" t="s">
        <v>19</v>
      </c>
      <c r="G18" s="22"/>
      <c r="H18" s="20" t="s">
        <v>238</v>
      </c>
      <c r="I18" s="25">
        <v>5410196</v>
      </c>
    </row>
    <row r="19" spans="1:9" ht="21.95" customHeight="1">
      <c r="A19" s="24">
        <v>0</v>
      </c>
      <c r="B19" s="24">
        <v>0</v>
      </c>
      <c r="C19" s="17">
        <f t="shared" si="0"/>
        <v>0</v>
      </c>
      <c r="D19" s="23">
        <v>0</v>
      </c>
      <c r="F19" s="21" t="s">
        <v>86</v>
      </c>
      <c r="G19" s="22"/>
      <c r="H19" s="20" t="s">
        <v>248</v>
      </c>
      <c r="I19" s="25">
        <v>0</v>
      </c>
    </row>
    <row r="20" spans="1:9" ht="21.95" customHeight="1">
      <c r="A20" s="208"/>
      <c r="B20" s="208"/>
      <c r="C20" s="17"/>
      <c r="D20" s="16">
        <f>199973.3+216070.64</f>
        <v>416043.94</v>
      </c>
      <c r="F20" s="21" t="s">
        <v>59</v>
      </c>
      <c r="G20" s="22"/>
      <c r="H20" s="20" t="s">
        <v>218</v>
      </c>
      <c r="I20" s="23">
        <v>216070.64</v>
      </c>
    </row>
    <row r="21" spans="1:9" ht="21.95" customHeight="1">
      <c r="A21" s="208"/>
      <c r="B21" s="208"/>
      <c r="C21" s="208"/>
      <c r="D21" s="23">
        <v>0</v>
      </c>
      <c r="F21" s="21" t="s">
        <v>186</v>
      </c>
      <c r="G21" s="22"/>
      <c r="H21" s="20" t="s">
        <v>213</v>
      </c>
      <c r="I21" s="23">
        <v>0</v>
      </c>
    </row>
    <row r="22" spans="1:9" ht="21.95" customHeight="1">
      <c r="A22" s="208"/>
      <c r="B22" s="208"/>
      <c r="C22" s="208"/>
      <c r="D22" s="23">
        <v>0</v>
      </c>
      <c r="F22" s="21" t="s">
        <v>114</v>
      </c>
      <c r="G22" s="22"/>
      <c r="H22" s="20" t="s">
        <v>217</v>
      </c>
      <c r="I22" s="23">
        <v>0</v>
      </c>
    </row>
    <row r="23" spans="1:9" ht="21.95" customHeight="1">
      <c r="A23" s="208"/>
      <c r="B23" s="208"/>
      <c r="C23" s="208"/>
      <c r="D23" s="23">
        <f>1516.4+2246.5</f>
        <v>3762.9</v>
      </c>
      <c r="F23" s="21" t="s">
        <v>53</v>
      </c>
      <c r="G23" s="22"/>
      <c r="H23" s="20" t="s">
        <v>214</v>
      </c>
      <c r="I23" s="23">
        <v>2246.5</v>
      </c>
    </row>
    <row r="24" spans="1:9" ht="21.95" customHeight="1">
      <c r="A24" s="208"/>
      <c r="B24" s="208"/>
      <c r="C24" s="208"/>
      <c r="D24" s="23">
        <v>0</v>
      </c>
      <c r="F24" s="21" t="s">
        <v>179</v>
      </c>
      <c r="G24" s="22"/>
      <c r="H24" s="20" t="s">
        <v>216</v>
      </c>
      <c r="I24" s="23">
        <v>0</v>
      </c>
    </row>
    <row r="25" spans="1:9" ht="21.95" customHeight="1">
      <c r="A25" s="208"/>
      <c r="B25" s="208"/>
      <c r="C25" s="208"/>
      <c r="D25" s="23">
        <f>10804+7298</f>
        <v>18102</v>
      </c>
      <c r="F25" s="21" t="s">
        <v>177</v>
      </c>
      <c r="G25" s="22"/>
      <c r="H25" s="20" t="s">
        <v>215</v>
      </c>
      <c r="I25" s="23">
        <v>7298</v>
      </c>
    </row>
    <row r="26" spans="1:9" ht="21.95" customHeight="1">
      <c r="A26" s="208"/>
      <c r="B26" s="208"/>
      <c r="C26" s="208"/>
      <c r="D26" s="23">
        <v>0</v>
      </c>
      <c r="F26" s="21" t="s">
        <v>258</v>
      </c>
      <c r="G26" s="22"/>
      <c r="H26" s="20" t="s">
        <v>259</v>
      </c>
      <c r="I26" s="23">
        <v>0</v>
      </c>
    </row>
    <row r="27" spans="1:9" ht="21.95" customHeight="1">
      <c r="A27" s="208"/>
      <c r="B27" s="208"/>
      <c r="C27" s="208"/>
      <c r="D27" s="23">
        <f>669590.65</f>
        <v>669590.65</v>
      </c>
      <c r="F27" s="21" t="s">
        <v>270</v>
      </c>
      <c r="G27" s="22"/>
      <c r="H27" s="20" t="s">
        <v>271</v>
      </c>
      <c r="I27" s="23">
        <v>0</v>
      </c>
    </row>
    <row r="28" spans="1:9" ht="21.95" customHeight="1">
      <c r="A28" s="208"/>
      <c r="B28" s="208"/>
      <c r="C28" s="208"/>
      <c r="D28" s="23">
        <v>12534</v>
      </c>
      <c r="F28" s="21" t="s">
        <v>20</v>
      </c>
      <c r="G28" s="22"/>
      <c r="H28" s="20" t="s">
        <v>219</v>
      </c>
      <c r="I28" s="23">
        <v>12534</v>
      </c>
    </row>
    <row r="29" spans="1:9" ht="21.95" customHeight="1">
      <c r="A29" s="208"/>
      <c r="B29" s="208"/>
      <c r="C29" s="208"/>
      <c r="D29" s="23"/>
      <c r="F29" s="21"/>
      <c r="G29" s="22"/>
      <c r="H29" s="20"/>
      <c r="I29" s="23"/>
    </row>
    <row r="30" spans="1:9" ht="21.95" customHeight="1">
      <c r="A30" s="208"/>
      <c r="B30" s="208"/>
      <c r="C30" s="208"/>
      <c r="D30" s="23"/>
      <c r="F30" s="21"/>
      <c r="G30" s="22"/>
      <c r="H30" s="20"/>
      <c r="I30" s="23"/>
    </row>
    <row r="31" spans="1:9" ht="21.95" customHeight="1">
      <c r="A31" s="208"/>
      <c r="B31" s="208"/>
      <c r="C31" s="208"/>
      <c r="D31" s="23"/>
      <c r="F31" s="21"/>
      <c r="G31" s="22"/>
      <c r="H31" s="20"/>
      <c r="I31" s="23"/>
    </row>
    <row r="32" spans="1:9" ht="21.95" customHeight="1">
      <c r="A32" s="208"/>
      <c r="B32" s="208"/>
      <c r="C32" s="208"/>
      <c r="D32" s="23"/>
      <c r="F32" s="21"/>
      <c r="G32" s="22"/>
      <c r="H32" s="20"/>
      <c r="I32" s="23"/>
    </row>
    <row r="33" spans="1:16" ht="21.95" customHeight="1">
      <c r="A33" s="208"/>
      <c r="B33" s="208"/>
      <c r="C33" s="208"/>
      <c r="D33" s="23"/>
      <c r="F33" s="21"/>
      <c r="G33" s="22"/>
      <c r="H33" s="20"/>
      <c r="I33" s="23"/>
    </row>
    <row r="34" spans="1:16" ht="21.95" customHeight="1">
      <c r="A34" s="208"/>
      <c r="B34" s="208"/>
      <c r="C34" s="208"/>
      <c r="D34" s="23"/>
      <c r="F34" s="21"/>
      <c r="G34" s="22"/>
      <c r="H34" s="20"/>
      <c r="I34" s="23"/>
    </row>
    <row r="35" spans="1:16" ht="21.95" customHeight="1">
      <c r="A35" s="208"/>
      <c r="B35" s="208"/>
      <c r="C35" s="208"/>
      <c r="D35" s="23"/>
      <c r="F35" s="21"/>
      <c r="G35" s="22"/>
      <c r="H35" s="20"/>
      <c r="I35" s="23"/>
    </row>
    <row r="36" spans="1:16" ht="21.95" customHeight="1">
      <c r="A36" s="208"/>
      <c r="B36" s="208"/>
      <c r="C36" s="208"/>
      <c r="D36" s="23"/>
      <c r="F36" s="21"/>
      <c r="G36" s="22"/>
      <c r="H36" s="20"/>
      <c r="I36" s="23"/>
    </row>
    <row r="37" spans="1:16" ht="21.95" customHeight="1">
      <c r="A37" s="208"/>
      <c r="B37" s="208"/>
      <c r="C37" s="208"/>
      <c r="D37" s="23"/>
      <c r="F37" s="21"/>
      <c r="H37" s="20"/>
      <c r="I37" s="23"/>
    </row>
    <row r="38" spans="1:16" ht="21.95" customHeight="1" thickBot="1">
      <c r="A38" s="209">
        <f>SUM(A11:A37)</f>
        <v>35856400</v>
      </c>
      <c r="B38" s="209">
        <f>SUM(B11:B37)</f>
        <v>0</v>
      </c>
      <c r="C38" s="209">
        <f>SUM(C11:C37)</f>
        <v>35856400</v>
      </c>
      <c r="D38" s="209">
        <f>SUM(D11:D37)</f>
        <v>8974409.7699999996</v>
      </c>
      <c r="E38" s="368" t="s">
        <v>21</v>
      </c>
      <c r="F38" s="369"/>
      <c r="G38" s="210"/>
      <c r="H38" s="212"/>
      <c r="I38" s="209">
        <f>SUM(I11:I37)</f>
        <v>8012694.3199999994</v>
      </c>
      <c r="K38" s="29"/>
      <c r="L38" s="30"/>
    </row>
    <row r="39" spans="1:16" ht="21.95" customHeight="1" thickTop="1">
      <c r="A39" s="28"/>
      <c r="B39" s="28"/>
      <c r="C39" s="28"/>
      <c r="D39" s="31"/>
      <c r="E39" s="218"/>
      <c r="F39" s="218"/>
      <c r="G39" s="218"/>
      <c r="H39" s="211"/>
      <c r="I39" s="31"/>
      <c r="K39" s="29"/>
      <c r="L39" s="30"/>
    </row>
    <row r="40" spans="1:16" ht="21.95" customHeight="1">
      <c r="A40" s="370" t="s">
        <v>22</v>
      </c>
      <c r="B40" s="370"/>
      <c r="C40" s="370"/>
      <c r="D40" s="370"/>
      <c r="E40" s="370"/>
      <c r="F40" s="370"/>
      <c r="G40" s="370"/>
      <c r="H40" s="370"/>
      <c r="I40" s="370"/>
    </row>
    <row r="41" spans="1:16" ht="22.5" customHeight="1">
      <c r="A41" s="369" t="s">
        <v>3</v>
      </c>
      <c r="B41" s="371"/>
      <c r="C41" s="371"/>
      <c r="D41" s="371"/>
      <c r="E41" s="372"/>
      <c r="F41" s="373"/>
      <c r="G41" s="224"/>
      <c r="H41" s="32"/>
      <c r="I41" s="222" t="s">
        <v>4</v>
      </c>
    </row>
    <row r="42" spans="1:16" ht="22.5" customHeight="1">
      <c r="A42" s="6" t="s">
        <v>5</v>
      </c>
      <c r="B42" s="6" t="s">
        <v>180</v>
      </c>
      <c r="C42" s="6" t="s">
        <v>109</v>
      </c>
      <c r="D42" s="223" t="s">
        <v>6</v>
      </c>
      <c r="E42" s="363" t="s">
        <v>7</v>
      </c>
      <c r="F42" s="364"/>
      <c r="G42" s="365"/>
      <c r="H42" s="7" t="s">
        <v>8</v>
      </c>
      <c r="I42" s="8" t="s">
        <v>6</v>
      </c>
    </row>
    <row r="43" spans="1:16" ht="22.5" customHeight="1">
      <c r="A43" s="206" t="s">
        <v>183</v>
      </c>
      <c r="B43" s="206" t="s">
        <v>181</v>
      </c>
      <c r="C43" s="206" t="s">
        <v>183</v>
      </c>
      <c r="D43" s="217" t="s">
        <v>183</v>
      </c>
      <c r="E43" s="217"/>
      <c r="F43" s="218"/>
      <c r="G43" s="218"/>
      <c r="H43" s="7"/>
      <c r="I43" s="8"/>
    </row>
    <row r="44" spans="1:16" ht="21.95" customHeight="1" thickBot="1">
      <c r="A44" s="9"/>
      <c r="B44" s="9" t="s">
        <v>182</v>
      </c>
      <c r="C44" s="9"/>
      <c r="D44" s="220"/>
      <c r="E44" s="374"/>
      <c r="F44" s="375"/>
      <c r="G44" s="219"/>
      <c r="H44" s="34" t="s">
        <v>10</v>
      </c>
      <c r="I44" s="35" t="s">
        <v>9</v>
      </c>
      <c r="L44" s="36"/>
      <c r="M44" s="36"/>
      <c r="O44" s="36"/>
      <c r="P44" s="36"/>
    </row>
    <row r="45" spans="1:16" ht="21.95" customHeight="1" thickTop="1">
      <c r="A45" s="37"/>
      <c r="B45" s="38"/>
      <c r="C45" s="38"/>
      <c r="D45" s="38"/>
      <c r="E45" s="39" t="s">
        <v>23</v>
      </c>
      <c r="F45" s="27"/>
      <c r="G45" s="22"/>
      <c r="H45" s="20"/>
      <c r="I45" s="40"/>
      <c r="K45" s="36"/>
      <c r="L45" s="36"/>
      <c r="M45" s="36"/>
      <c r="N45" s="36"/>
      <c r="O45" s="36"/>
      <c r="P45" s="36"/>
    </row>
    <row r="46" spans="1:16" ht="21.95" customHeight="1">
      <c r="A46" s="41">
        <v>12127150</v>
      </c>
      <c r="B46" s="17">
        <v>0</v>
      </c>
      <c r="C46" s="17">
        <f>SUM(A46:B46)</f>
        <v>12127150</v>
      </c>
      <c r="D46" s="24">
        <f>5095.89+2018569.21</f>
        <v>2023665.0999999999</v>
      </c>
      <c r="E46" s="39"/>
      <c r="F46" s="21" t="s">
        <v>24</v>
      </c>
      <c r="G46" s="22"/>
      <c r="H46" s="20" t="s">
        <v>221</v>
      </c>
      <c r="I46" s="23">
        <f>2020969.21-2400</f>
        <v>2018569.21</v>
      </c>
      <c r="P46" s="4"/>
    </row>
    <row r="47" spans="1:16" ht="21.95" customHeight="1">
      <c r="A47" s="41">
        <f>2624640</f>
        <v>2624640</v>
      </c>
      <c r="B47" s="17">
        <v>0</v>
      </c>
      <c r="C47" s="17">
        <f t="shared" ref="C47:C56" si="1">SUM(A47:B47)</f>
        <v>2624640</v>
      </c>
      <c r="D47" s="24">
        <f>218720+218720</f>
        <v>437440</v>
      </c>
      <c r="E47" s="42"/>
      <c r="F47" s="21" t="s">
        <v>26</v>
      </c>
      <c r="G47" s="22"/>
      <c r="H47" s="20" t="s">
        <v>222</v>
      </c>
      <c r="I47" s="23">
        <v>218720</v>
      </c>
      <c r="P47" s="4"/>
    </row>
    <row r="48" spans="1:16" ht="21.95" customHeight="1">
      <c r="A48" s="41">
        <f>5341830+2032360+1768320</f>
        <v>9142510</v>
      </c>
      <c r="B48" s="17">
        <v>0</v>
      </c>
      <c r="C48" s="17">
        <f t="shared" si="1"/>
        <v>9142510</v>
      </c>
      <c r="D48" s="24">
        <f>687380+766560</f>
        <v>1453940</v>
      </c>
      <c r="E48" s="42"/>
      <c r="F48" s="21" t="s">
        <v>27</v>
      </c>
      <c r="G48" s="22"/>
      <c r="H48" s="20" t="s">
        <v>223</v>
      </c>
      <c r="I48" s="23">
        <v>766560</v>
      </c>
      <c r="P48" s="4"/>
    </row>
    <row r="49" spans="1:16" ht="21.95" customHeight="1">
      <c r="A49" s="41">
        <f>333000+10000+14400+123000</f>
        <v>480400</v>
      </c>
      <c r="B49" s="17">
        <v>0</v>
      </c>
      <c r="C49" s="17">
        <f t="shared" si="1"/>
        <v>480400</v>
      </c>
      <c r="D49" s="24">
        <f>24980+39770</f>
        <v>64750</v>
      </c>
      <c r="E49" s="42"/>
      <c r="F49" s="21" t="s">
        <v>28</v>
      </c>
      <c r="G49" s="22"/>
      <c r="H49" s="20" t="s">
        <v>224</v>
      </c>
      <c r="I49" s="23">
        <v>39770</v>
      </c>
      <c r="P49" s="4"/>
    </row>
    <row r="50" spans="1:16" ht="21.95" customHeight="1">
      <c r="A50" s="41">
        <f>1282000+120000+927000+10000+575000+40000+175000+20000+40000-100000+100000-50000+50000</f>
        <v>3189000</v>
      </c>
      <c r="B50" s="17">
        <v>0</v>
      </c>
      <c r="C50" s="17">
        <f t="shared" si="1"/>
        <v>3189000</v>
      </c>
      <c r="D50" s="24">
        <f>9350+549155</f>
        <v>558505</v>
      </c>
      <c r="E50" s="42"/>
      <c r="F50" s="21" t="s">
        <v>29</v>
      </c>
      <c r="G50" s="22"/>
      <c r="H50" s="20" t="s">
        <v>225</v>
      </c>
      <c r="I50" s="23">
        <v>549155</v>
      </c>
      <c r="P50" s="4"/>
    </row>
    <row r="51" spans="1:16" ht="21.95" customHeight="1">
      <c r="A51" s="16">
        <f>496000+894400+10000+85000+20000+215000</f>
        <v>1720400</v>
      </c>
      <c r="B51" s="17">
        <v>0</v>
      </c>
      <c r="C51" s="17">
        <f t="shared" si="1"/>
        <v>1720400</v>
      </c>
      <c r="D51" s="24">
        <v>33025</v>
      </c>
      <c r="E51" s="42"/>
      <c r="F51" s="21" t="s">
        <v>30</v>
      </c>
      <c r="G51" s="22"/>
      <c r="H51" s="20" t="s">
        <v>226</v>
      </c>
      <c r="I51" s="23">
        <v>33025</v>
      </c>
      <c r="P51" s="4"/>
    </row>
    <row r="52" spans="1:16" ht="21.95" customHeight="1">
      <c r="A52" s="16">
        <f>379000+430000</f>
        <v>809000</v>
      </c>
      <c r="B52" s="17">
        <v>0</v>
      </c>
      <c r="C52" s="17">
        <f t="shared" si="1"/>
        <v>809000</v>
      </c>
      <c r="D52" s="24">
        <f>57035.95+58344.52</f>
        <v>115380.47</v>
      </c>
      <c r="E52" s="42"/>
      <c r="F52" s="21" t="s">
        <v>31</v>
      </c>
      <c r="G52" s="22"/>
      <c r="H52" s="20" t="s">
        <v>227</v>
      </c>
      <c r="I52" s="23">
        <v>58344.52</v>
      </c>
      <c r="P52" s="4"/>
    </row>
    <row r="53" spans="1:16" ht="21.95" customHeight="1">
      <c r="A53" s="16">
        <f>189800+125500+10000</f>
        <v>325300</v>
      </c>
      <c r="B53" s="17">
        <v>0</v>
      </c>
      <c r="C53" s="17">
        <f t="shared" si="1"/>
        <v>325300</v>
      </c>
      <c r="D53" s="24">
        <v>0</v>
      </c>
      <c r="E53" s="42"/>
      <c r="F53" s="21" t="s">
        <v>32</v>
      </c>
      <c r="G53" s="22"/>
      <c r="H53" s="43">
        <v>54100000</v>
      </c>
      <c r="I53" s="23">
        <v>0</v>
      </c>
      <c r="P53" s="4"/>
    </row>
    <row r="54" spans="1:16" ht="21.95" customHeight="1">
      <c r="A54" s="16">
        <f>3455000+505000</f>
        <v>3960000</v>
      </c>
      <c r="B54" s="17">
        <v>0</v>
      </c>
      <c r="C54" s="17">
        <f t="shared" si="1"/>
        <v>3960000</v>
      </c>
      <c r="D54" s="24">
        <v>2500</v>
      </c>
      <c r="E54" s="42"/>
      <c r="F54" s="21" t="s">
        <v>33</v>
      </c>
      <c r="G54" s="22"/>
      <c r="H54" s="20" t="s">
        <v>229</v>
      </c>
      <c r="I54" s="23">
        <v>2500</v>
      </c>
      <c r="P54" s="4"/>
    </row>
    <row r="55" spans="1:16" ht="21.95" customHeight="1">
      <c r="A55" s="16">
        <v>0</v>
      </c>
      <c r="B55" s="17">
        <v>0</v>
      </c>
      <c r="C55" s="17">
        <f t="shared" si="1"/>
        <v>0</v>
      </c>
      <c r="D55" s="24">
        <v>0</v>
      </c>
      <c r="E55" s="42"/>
      <c r="F55" s="21" t="s">
        <v>34</v>
      </c>
      <c r="G55" s="22"/>
      <c r="H55" s="20" t="s">
        <v>239</v>
      </c>
      <c r="I55" s="23">
        <v>0</v>
      </c>
      <c r="P55" s="4"/>
    </row>
    <row r="56" spans="1:16" ht="21.95" customHeight="1">
      <c r="A56" s="16">
        <f>20000+1220000+200000+38000</f>
        <v>1478000</v>
      </c>
      <c r="B56" s="16">
        <v>0</v>
      </c>
      <c r="C56" s="17">
        <f t="shared" si="1"/>
        <v>1478000</v>
      </c>
      <c r="D56" s="23">
        <f>3000+285000</f>
        <v>288000</v>
      </c>
      <c r="E56" s="27"/>
      <c r="F56" s="21" t="s">
        <v>35</v>
      </c>
      <c r="H56" s="20" t="s">
        <v>230</v>
      </c>
      <c r="I56" s="23">
        <f>287000-2000</f>
        <v>285000</v>
      </c>
      <c r="P56" s="4"/>
    </row>
    <row r="57" spans="1:16" ht="21.95" customHeight="1">
      <c r="A57" s="16"/>
      <c r="B57" s="16"/>
      <c r="C57" s="16"/>
      <c r="D57" s="16">
        <f>217221.85+197830.3</f>
        <v>415052.15</v>
      </c>
      <c r="E57" s="27"/>
      <c r="F57" s="97" t="s">
        <v>117</v>
      </c>
      <c r="H57" s="20" t="s">
        <v>218</v>
      </c>
      <c r="I57" s="16">
        <v>197830.3</v>
      </c>
      <c r="P57" s="44"/>
    </row>
    <row r="58" spans="1:16" ht="21.95" customHeight="1">
      <c r="A58" s="208"/>
      <c r="B58" s="208"/>
      <c r="C58" s="208"/>
      <c r="D58" s="23">
        <v>0</v>
      </c>
      <c r="E58" s="27"/>
      <c r="F58" s="21" t="s">
        <v>112</v>
      </c>
      <c r="G58" s="22"/>
      <c r="H58" s="20" t="s">
        <v>217</v>
      </c>
      <c r="I58" s="23">
        <v>0</v>
      </c>
    </row>
    <row r="59" spans="1:16" ht="21.95" customHeight="1">
      <c r="A59" s="208"/>
      <c r="B59" s="208"/>
      <c r="C59" s="208"/>
      <c r="D59" s="23">
        <v>0</v>
      </c>
      <c r="E59" s="27"/>
      <c r="F59" s="21" t="s">
        <v>108</v>
      </c>
      <c r="H59" s="20" t="s">
        <v>212</v>
      </c>
      <c r="I59" s="23">
        <v>0</v>
      </c>
    </row>
    <row r="60" spans="1:16" ht="21.95" customHeight="1">
      <c r="A60" s="208"/>
      <c r="B60" s="208"/>
      <c r="C60" s="208"/>
      <c r="D60" s="23">
        <v>56680</v>
      </c>
      <c r="E60" s="27"/>
      <c r="F60" s="21" t="s">
        <v>186</v>
      </c>
      <c r="H60" s="20" t="s">
        <v>213</v>
      </c>
      <c r="I60" s="23">
        <v>56680</v>
      </c>
    </row>
    <row r="61" spans="1:16" ht="21.95" customHeight="1">
      <c r="A61" s="208"/>
      <c r="B61" s="208"/>
      <c r="C61" s="208"/>
      <c r="D61" s="23">
        <v>0</v>
      </c>
      <c r="E61" s="27"/>
      <c r="F61" s="21" t="s">
        <v>55</v>
      </c>
      <c r="H61" s="20" t="s">
        <v>220</v>
      </c>
      <c r="I61" s="23">
        <v>0</v>
      </c>
    </row>
    <row r="62" spans="1:16" ht="21.95" customHeight="1">
      <c r="A62" s="208"/>
      <c r="B62" s="208"/>
      <c r="C62" s="208"/>
      <c r="D62" s="23">
        <v>0</v>
      </c>
      <c r="E62" s="27"/>
      <c r="F62" s="21" t="s">
        <v>260</v>
      </c>
      <c r="H62" s="20" t="s">
        <v>261</v>
      </c>
      <c r="I62" s="23">
        <v>0</v>
      </c>
    </row>
    <row r="63" spans="1:16" ht="21.95" customHeight="1">
      <c r="A63" s="208"/>
      <c r="B63" s="208"/>
      <c r="C63" s="208"/>
      <c r="D63" s="23">
        <v>0</v>
      </c>
      <c r="E63" s="27"/>
      <c r="F63" s="21" t="s">
        <v>258</v>
      </c>
      <c r="H63" s="20" t="s">
        <v>259</v>
      </c>
      <c r="I63" s="23">
        <v>0</v>
      </c>
    </row>
    <row r="64" spans="1:16" ht="21.95" customHeight="1">
      <c r="A64" s="208"/>
      <c r="B64" s="208"/>
      <c r="C64" s="208"/>
      <c r="D64" s="23"/>
      <c r="E64" s="27"/>
      <c r="F64" s="21"/>
      <c r="H64" s="20"/>
      <c r="I64" s="23"/>
    </row>
    <row r="65" spans="1:10" ht="21.95" customHeight="1">
      <c r="A65" s="208"/>
      <c r="B65" s="208"/>
      <c r="C65" s="208"/>
      <c r="D65" s="23"/>
      <c r="E65" s="27"/>
      <c r="F65" s="21"/>
      <c r="H65" s="20"/>
      <c r="I65" s="23"/>
    </row>
    <row r="66" spans="1:10" ht="21.95" customHeight="1">
      <c r="A66" s="208"/>
      <c r="B66" s="208"/>
      <c r="C66" s="208"/>
      <c r="D66" s="23"/>
      <c r="E66" s="27"/>
      <c r="F66" s="21"/>
      <c r="H66" s="20"/>
      <c r="I66" s="23"/>
    </row>
    <row r="67" spans="1:10" ht="21.95" customHeight="1">
      <c r="A67" s="208"/>
      <c r="B67" s="208"/>
      <c r="C67" s="208"/>
      <c r="D67" s="23"/>
      <c r="E67" s="27"/>
      <c r="F67" s="21"/>
      <c r="H67" s="20"/>
      <c r="I67" s="23"/>
    </row>
    <row r="68" spans="1:10" ht="21.95" customHeight="1">
      <c r="A68" s="208"/>
      <c r="B68" s="208"/>
      <c r="C68" s="208"/>
      <c r="D68" s="23"/>
      <c r="E68" s="27"/>
      <c r="F68" s="21"/>
      <c r="H68" s="20"/>
      <c r="I68" s="23"/>
    </row>
    <row r="69" spans="1:10" ht="21.95" customHeight="1">
      <c r="A69" s="208"/>
      <c r="B69" s="208"/>
      <c r="C69" s="208"/>
      <c r="D69" s="23"/>
      <c r="E69" s="27"/>
      <c r="F69" s="21"/>
      <c r="H69" s="20"/>
      <c r="I69" s="23"/>
    </row>
    <row r="70" spans="1:10" ht="21.95" customHeight="1">
      <c r="A70" s="208"/>
      <c r="B70" s="208"/>
      <c r="C70" s="208"/>
      <c r="D70" s="23"/>
      <c r="E70" s="27"/>
      <c r="F70" s="21"/>
      <c r="H70" s="20"/>
      <c r="I70" s="23">
        <v>0</v>
      </c>
    </row>
    <row r="71" spans="1:10" ht="21.95" customHeight="1" thickBot="1">
      <c r="A71" s="209">
        <f>SUM(A46:A70)</f>
        <v>35856400</v>
      </c>
      <c r="B71" s="209">
        <f t="shared" ref="B71:C71" si="2">SUM(B46:B70)</f>
        <v>0</v>
      </c>
      <c r="C71" s="209">
        <f t="shared" si="2"/>
        <v>35856400</v>
      </c>
      <c r="D71" s="209">
        <f>SUM(D46:D70)</f>
        <v>5448937.7199999997</v>
      </c>
      <c r="E71" s="376" t="s">
        <v>36</v>
      </c>
      <c r="F71" s="377"/>
      <c r="G71" s="377"/>
      <c r="H71" s="378"/>
      <c r="I71" s="209">
        <f>SUM(I46:I70)</f>
        <v>4226154.0299999993</v>
      </c>
      <c r="J71" s="338"/>
    </row>
    <row r="72" spans="1:10" ht="21.95" customHeight="1" thickTop="1">
      <c r="A72" s="28"/>
      <c r="B72" s="28"/>
      <c r="C72" s="28"/>
      <c r="D72" s="213">
        <f>D38-D71</f>
        <v>3525472.05</v>
      </c>
      <c r="E72" s="363" t="s">
        <v>37</v>
      </c>
      <c r="F72" s="364"/>
      <c r="G72" s="364"/>
      <c r="H72" s="365"/>
      <c r="I72" s="213">
        <f>I38-I71</f>
        <v>3786540.29</v>
      </c>
    </row>
    <row r="73" spans="1:10" ht="18.75" customHeight="1">
      <c r="A73" s="28"/>
      <c r="B73" s="28"/>
      <c r="C73" s="28"/>
      <c r="D73" s="38"/>
      <c r="E73" s="363" t="s">
        <v>38</v>
      </c>
      <c r="F73" s="364"/>
      <c r="G73" s="364"/>
      <c r="H73" s="365"/>
      <c r="I73" s="208"/>
    </row>
    <row r="74" spans="1:10" ht="21.75" customHeight="1">
      <c r="D74" s="213"/>
      <c r="E74" s="363" t="s">
        <v>39</v>
      </c>
      <c r="F74" s="364"/>
      <c r="G74" s="364"/>
      <c r="H74" s="365"/>
      <c r="I74" s="213"/>
    </row>
    <row r="75" spans="1:10" ht="21.95" customHeight="1">
      <c r="D75" s="214">
        <f>D9+D72+D74</f>
        <v>12063581.09</v>
      </c>
      <c r="E75" s="363" t="s">
        <v>40</v>
      </c>
      <c r="F75" s="364"/>
      <c r="G75" s="364"/>
      <c r="H75" s="365"/>
      <c r="I75" s="215">
        <f>I9+I72+I74</f>
        <v>12063581.09</v>
      </c>
    </row>
    <row r="76" spans="1:10" ht="9.75" customHeight="1">
      <c r="D76" s="31"/>
      <c r="E76" s="218"/>
      <c r="F76" s="218"/>
      <c r="G76" s="218"/>
      <c r="H76" s="218"/>
      <c r="I76" s="31"/>
    </row>
    <row r="77" spans="1:10" ht="12.75" customHeight="1">
      <c r="D77" s="31"/>
      <c r="E77" s="218"/>
      <c r="F77" s="218"/>
      <c r="G77" s="218"/>
      <c r="H77" s="218"/>
      <c r="I77" s="31"/>
    </row>
    <row r="78" spans="1:10" ht="21.95" customHeight="1">
      <c r="A78" s="361" t="s">
        <v>41</v>
      </c>
      <c r="B78" s="361"/>
      <c r="C78" s="361"/>
      <c r="D78" s="361" t="s">
        <v>41</v>
      </c>
      <c r="E78" s="361"/>
      <c r="F78" s="361"/>
      <c r="G78" s="361" t="s">
        <v>41</v>
      </c>
      <c r="H78" s="361"/>
      <c r="I78" s="361"/>
    </row>
    <row r="79" spans="1:10" ht="21.95" customHeight="1">
      <c r="A79" s="361" t="s">
        <v>42</v>
      </c>
      <c r="B79" s="361"/>
      <c r="C79" s="361"/>
      <c r="D79" s="361" t="s">
        <v>43</v>
      </c>
      <c r="E79" s="361"/>
      <c r="F79" s="361"/>
      <c r="G79" s="361" t="s">
        <v>44</v>
      </c>
      <c r="H79" s="361"/>
      <c r="I79" s="361"/>
    </row>
    <row r="80" spans="1:10" ht="21.95" customHeight="1">
      <c r="A80" s="361" t="s">
        <v>60</v>
      </c>
      <c r="B80" s="361"/>
      <c r="C80" s="361"/>
      <c r="D80" s="361" t="s">
        <v>45</v>
      </c>
      <c r="E80" s="361"/>
      <c r="F80" s="361"/>
      <c r="G80" s="361" t="s">
        <v>46</v>
      </c>
      <c r="H80" s="361"/>
      <c r="I80" s="361"/>
    </row>
    <row r="81" spans="1:4" ht="21.95" customHeight="1">
      <c r="A81" s="362"/>
      <c r="B81" s="362"/>
      <c r="C81" s="362"/>
      <c r="D81" s="362"/>
    </row>
  </sheetData>
  <mergeCells count="29">
    <mergeCell ref="A1:I1"/>
    <mergeCell ref="A2:I2"/>
    <mergeCell ref="A3:I3"/>
    <mergeCell ref="A4:I4"/>
    <mergeCell ref="A5:D5"/>
    <mergeCell ref="E5:F5"/>
    <mergeCell ref="E74:H74"/>
    <mergeCell ref="E6:G6"/>
    <mergeCell ref="E8:F8"/>
    <mergeCell ref="E38:F38"/>
    <mergeCell ref="A40:I40"/>
    <mergeCell ref="A41:D41"/>
    <mergeCell ref="E41:F41"/>
    <mergeCell ref="E42:G42"/>
    <mergeCell ref="E44:F44"/>
    <mergeCell ref="E71:H71"/>
    <mergeCell ref="E72:H72"/>
    <mergeCell ref="E73:H73"/>
    <mergeCell ref="A80:C80"/>
    <mergeCell ref="D80:F80"/>
    <mergeCell ref="G80:I80"/>
    <mergeCell ref="A81:D81"/>
    <mergeCell ref="E75:H75"/>
    <mergeCell ref="A78:C78"/>
    <mergeCell ref="D78:F78"/>
    <mergeCell ref="G78:I78"/>
    <mergeCell ref="A79:C79"/>
    <mergeCell ref="D79:F79"/>
    <mergeCell ref="G79:I79"/>
  </mergeCells>
  <pageMargins left="0" right="0" top="0.11811023622047245" bottom="0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view="pageBreakPreview" topLeftCell="L16" zoomScaleSheetLayoutView="100" workbookViewId="0">
      <selection activeCell="E14" sqref="E14"/>
    </sheetView>
  </sheetViews>
  <sheetFormatPr defaultRowHeight="21.75"/>
  <cols>
    <col min="1" max="1" width="13" style="250" bestFit="1" customWidth="1"/>
    <col min="2" max="2" width="11.25" style="250" bestFit="1" customWidth="1"/>
    <col min="3" max="3" width="9" style="250" bestFit="1" customWidth="1"/>
    <col min="4" max="4" width="11.25" style="250" bestFit="1" customWidth="1"/>
    <col min="5" max="5" width="9.875" style="250" bestFit="1" customWidth="1"/>
    <col min="6" max="6" width="9" style="250" bestFit="1" customWidth="1"/>
    <col min="7" max="7" width="9.875" style="250" bestFit="1" customWidth="1"/>
    <col min="8" max="8" width="11.25" style="250" bestFit="1" customWidth="1"/>
    <col min="9" max="9" width="9.875" style="250" bestFit="1" customWidth="1"/>
    <col min="10" max="10" width="9" style="250" bestFit="1" customWidth="1"/>
    <col min="11" max="11" width="11.75" style="250" bestFit="1" customWidth="1"/>
    <col min="12" max="12" width="11.25" style="250" bestFit="1" customWidth="1"/>
    <col min="13" max="14" width="9" style="250" bestFit="1" customWidth="1"/>
    <col min="15" max="16" width="9.875" style="250" bestFit="1" customWidth="1"/>
    <col min="17" max="17" width="5.25" style="250" bestFit="1" customWidth="1"/>
    <col min="18" max="18" width="9.875" style="250" bestFit="1" customWidth="1"/>
    <col min="19" max="19" width="8.75" style="250" bestFit="1" customWidth="1"/>
    <col min="20" max="20" width="9.875" style="250" bestFit="1" customWidth="1"/>
    <col min="21" max="21" width="5.25" style="250" bestFit="1" customWidth="1"/>
    <col min="22" max="22" width="11.75" style="250" bestFit="1" customWidth="1"/>
    <col min="23" max="260" width="9" style="250"/>
    <col min="261" max="261" width="18.75" style="250" customWidth="1"/>
    <col min="262" max="264" width="9.75" style="250" customWidth="1"/>
    <col min="265" max="265" width="8.625" style="250" customWidth="1"/>
    <col min="266" max="266" width="9.75" style="250" customWidth="1"/>
    <col min="267" max="267" width="8.625" style="250" customWidth="1"/>
    <col min="268" max="268" width="7.875" style="250" customWidth="1"/>
    <col min="269" max="270" width="9.75" style="250" customWidth="1"/>
    <col min="271" max="271" width="7.875" style="250" customWidth="1"/>
    <col min="272" max="272" width="8.625" style="250" customWidth="1"/>
    <col min="273" max="273" width="8.625" style="250" bestFit="1" customWidth="1"/>
    <col min="274" max="274" width="8.75" style="250" bestFit="1" customWidth="1"/>
    <col min="275" max="276" width="8.625" style="250" bestFit="1" customWidth="1"/>
    <col min="277" max="277" width="9.75" style="250" bestFit="1" customWidth="1"/>
    <col min="278" max="278" width="10.5" style="250" bestFit="1" customWidth="1"/>
    <col min="279" max="516" width="9" style="250"/>
    <col min="517" max="517" width="18.75" style="250" customWidth="1"/>
    <col min="518" max="520" width="9.75" style="250" customWidth="1"/>
    <col min="521" max="521" width="8.625" style="250" customWidth="1"/>
    <col min="522" max="522" width="9.75" style="250" customWidth="1"/>
    <col min="523" max="523" width="8.625" style="250" customWidth="1"/>
    <col min="524" max="524" width="7.875" style="250" customWidth="1"/>
    <col min="525" max="526" width="9.75" style="250" customWidth="1"/>
    <col min="527" max="527" width="7.875" style="250" customWidth="1"/>
    <col min="528" max="528" width="8.625" style="250" customWidth="1"/>
    <col min="529" max="529" width="8.625" style="250" bestFit="1" customWidth="1"/>
    <col min="530" max="530" width="8.75" style="250" bestFit="1" customWidth="1"/>
    <col min="531" max="532" width="8.625" style="250" bestFit="1" customWidth="1"/>
    <col min="533" max="533" width="9.75" style="250" bestFit="1" customWidth="1"/>
    <col min="534" max="534" width="10.5" style="250" bestFit="1" customWidth="1"/>
    <col min="535" max="772" width="9" style="250"/>
    <col min="773" max="773" width="18.75" style="250" customWidth="1"/>
    <col min="774" max="776" width="9.75" style="250" customWidth="1"/>
    <col min="777" max="777" width="8.625" style="250" customWidth="1"/>
    <col min="778" max="778" width="9.75" style="250" customWidth="1"/>
    <col min="779" max="779" width="8.625" style="250" customWidth="1"/>
    <col min="780" max="780" width="7.875" style="250" customWidth="1"/>
    <col min="781" max="782" width="9.75" style="250" customWidth="1"/>
    <col min="783" max="783" width="7.875" style="250" customWidth="1"/>
    <col min="784" max="784" width="8.625" style="250" customWidth="1"/>
    <col min="785" max="785" width="8.625" style="250" bestFit="1" customWidth="1"/>
    <col min="786" max="786" width="8.75" style="250" bestFit="1" customWidth="1"/>
    <col min="787" max="788" width="8.625" style="250" bestFit="1" customWidth="1"/>
    <col min="789" max="789" width="9.75" style="250" bestFit="1" customWidth="1"/>
    <col min="790" max="790" width="10.5" style="250" bestFit="1" customWidth="1"/>
    <col min="791" max="1028" width="9" style="250"/>
    <col min="1029" max="1029" width="18.75" style="250" customWidth="1"/>
    <col min="1030" max="1032" width="9.75" style="250" customWidth="1"/>
    <col min="1033" max="1033" width="8.625" style="250" customWidth="1"/>
    <col min="1034" max="1034" width="9.75" style="250" customWidth="1"/>
    <col min="1035" max="1035" width="8.625" style="250" customWidth="1"/>
    <col min="1036" max="1036" width="7.875" style="250" customWidth="1"/>
    <col min="1037" max="1038" width="9.75" style="250" customWidth="1"/>
    <col min="1039" max="1039" width="7.875" style="250" customWidth="1"/>
    <col min="1040" max="1040" width="8.625" style="250" customWidth="1"/>
    <col min="1041" max="1041" width="8.625" style="250" bestFit="1" customWidth="1"/>
    <col min="1042" max="1042" width="8.75" style="250" bestFit="1" customWidth="1"/>
    <col min="1043" max="1044" width="8.625" style="250" bestFit="1" customWidth="1"/>
    <col min="1045" max="1045" width="9.75" style="250" bestFit="1" customWidth="1"/>
    <col min="1046" max="1046" width="10.5" style="250" bestFit="1" customWidth="1"/>
    <col min="1047" max="1284" width="9" style="250"/>
    <col min="1285" max="1285" width="18.75" style="250" customWidth="1"/>
    <col min="1286" max="1288" width="9.75" style="250" customWidth="1"/>
    <col min="1289" max="1289" width="8.625" style="250" customWidth="1"/>
    <col min="1290" max="1290" width="9.75" style="250" customWidth="1"/>
    <col min="1291" max="1291" width="8.625" style="250" customWidth="1"/>
    <col min="1292" max="1292" width="7.875" style="250" customWidth="1"/>
    <col min="1293" max="1294" width="9.75" style="250" customWidth="1"/>
    <col min="1295" max="1295" width="7.875" style="250" customWidth="1"/>
    <col min="1296" max="1296" width="8.625" style="250" customWidth="1"/>
    <col min="1297" max="1297" width="8.625" style="250" bestFit="1" customWidth="1"/>
    <col min="1298" max="1298" width="8.75" style="250" bestFit="1" customWidth="1"/>
    <col min="1299" max="1300" width="8.625" style="250" bestFit="1" customWidth="1"/>
    <col min="1301" max="1301" width="9.75" style="250" bestFit="1" customWidth="1"/>
    <col min="1302" max="1302" width="10.5" style="250" bestFit="1" customWidth="1"/>
    <col min="1303" max="1540" width="9" style="250"/>
    <col min="1541" max="1541" width="18.75" style="250" customWidth="1"/>
    <col min="1542" max="1544" width="9.75" style="250" customWidth="1"/>
    <col min="1545" max="1545" width="8.625" style="250" customWidth="1"/>
    <col min="1546" max="1546" width="9.75" style="250" customWidth="1"/>
    <col min="1547" max="1547" width="8.625" style="250" customWidth="1"/>
    <col min="1548" max="1548" width="7.875" style="250" customWidth="1"/>
    <col min="1549" max="1550" width="9.75" style="250" customWidth="1"/>
    <col min="1551" max="1551" width="7.875" style="250" customWidth="1"/>
    <col min="1552" max="1552" width="8.625" style="250" customWidth="1"/>
    <col min="1553" max="1553" width="8.625" style="250" bestFit="1" customWidth="1"/>
    <col min="1554" max="1554" width="8.75" style="250" bestFit="1" customWidth="1"/>
    <col min="1555" max="1556" width="8.625" style="250" bestFit="1" customWidth="1"/>
    <col min="1557" max="1557" width="9.75" style="250" bestFit="1" customWidth="1"/>
    <col min="1558" max="1558" width="10.5" style="250" bestFit="1" customWidth="1"/>
    <col min="1559" max="1796" width="9" style="250"/>
    <col min="1797" max="1797" width="18.75" style="250" customWidth="1"/>
    <col min="1798" max="1800" width="9.75" style="250" customWidth="1"/>
    <col min="1801" max="1801" width="8.625" style="250" customWidth="1"/>
    <col min="1802" max="1802" width="9.75" style="250" customWidth="1"/>
    <col min="1803" max="1803" width="8.625" style="250" customWidth="1"/>
    <col min="1804" max="1804" width="7.875" style="250" customWidth="1"/>
    <col min="1805" max="1806" width="9.75" style="250" customWidth="1"/>
    <col min="1807" max="1807" width="7.875" style="250" customWidth="1"/>
    <col min="1808" max="1808" width="8.625" style="250" customWidth="1"/>
    <col min="1809" max="1809" width="8.625" style="250" bestFit="1" customWidth="1"/>
    <col min="1810" max="1810" width="8.75" style="250" bestFit="1" customWidth="1"/>
    <col min="1811" max="1812" width="8.625" style="250" bestFit="1" customWidth="1"/>
    <col min="1813" max="1813" width="9.75" style="250" bestFit="1" customWidth="1"/>
    <col min="1814" max="1814" width="10.5" style="250" bestFit="1" customWidth="1"/>
    <col min="1815" max="2052" width="9" style="250"/>
    <col min="2053" max="2053" width="18.75" style="250" customWidth="1"/>
    <col min="2054" max="2056" width="9.75" style="250" customWidth="1"/>
    <col min="2057" max="2057" width="8.625" style="250" customWidth="1"/>
    <col min="2058" max="2058" width="9.75" style="250" customWidth="1"/>
    <col min="2059" max="2059" width="8.625" style="250" customWidth="1"/>
    <col min="2060" max="2060" width="7.875" style="250" customWidth="1"/>
    <col min="2061" max="2062" width="9.75" style="250" customWidth="1"/>
    <col min="2063" max="2063" width="7.875" style="250" customWidth="1"/>
    <col min="2064" max="2064" width="8.625" style="250" customWidth="1"/>
    <col min="2065" max="2065" width="8.625" style="250" bestFit="1" customWidth="1"/>
    <col min="2066" max="2066" width="8.75" style="250" bestFit="1" customWidth="1"/>
    <col min="2067" max="2068" width="8.625" style="250" bestFit="1" customWidth="1"/>
    <col min="2069" max="2069" width="9.75" style="250" bestFit="1" customWidth="1"/>
    <col min="2070" max="2070" width="10.5" style="250" bestFit="1" customWidth="1"/>
    <col min="2071" max="2308" width="9" style="250"/>
    <col min="2309" max="2309" width="18.75" style="250" customWidth="1"/>
    <col min="2310" max="2312" width="9.75" style="250" customWidth="1"/>
    <col min="2313" max="2313" width="8.625" style="250" customWidth="1"/>
    <col min="2314" max="2314" width="9.75" style="250" customWidth="1"/>
    <col min="2315" max="2315" width="8.625" style="250" customWidth="1"/>
    <col min="2316" max="2316" width="7.875" style="250" customWidth="1"/>
    <col min="2317" max="2318" width="9.75" style="250" customWidth="1"/>
    <col min="2319" max="2319" width="7.875" style="250" customWidth="1"/>
    <col min="2320" max="2320" width="8.625" style="250" customWidth="1"/>
    <col min="2321" max="2321" width="8.625" style="250" bestFit="1" customWidth="1"/>
    <col min="2322" max="2322" width="8.75" style="250" bestFit="1" customWidth="1"/>
    <col min="2323" max="2324" width="8.625" style="250" bestFit="1" customWidth="1"/>
    <col min="2325" max="2325" width="9.75" style="250" bestFit="1" customWidth="1"/>
    <col min="2326" max="2326" width="10.5" style="250" bestFit="1" customWidth="1"/>
    <col min="2327" max="2564" width="9" style="250"/>
    <col min="2565" max="2565" width="18.75" style="250" customWidth="1"/>
    <col min="2566" max="2568" width="9.75" style="250" customWidth="1"/>
    <col min="2569" max="2569" width="8.625" style="250" customWidth="1"/>
    <col min="2570" max="2570" width="9.75" style="250" customWidth="1"/>
    <col min="2571" max="2571" width="8.625" style="250" customWidth="1"/>
    <col min="2572" max="2572" width="7.875" style="250" customWidth="1"/>
    <col min="2573" max="2574" width="9.75" style="250" customWidth="1"/>
    <col min="2575" max="2575" width="7.875" style="250" customWidth="1"/>
    <col min="2576" max="2576" width="8.625" style="250" customWidth="1"/>
    <col min="2577" max="2577" width="8.625" style="250" bestFit="1" customWidth="1"/>
    <col min="2578" max="2578" width="8.75" style="250" bestFit="1" customWidth="1"/>
    <col min="2579" max="2580" width="8.625" style="250" bestFit="1" customWidth="1"/>
    <col min="2581" max="2581" width="9.75" style="250" bestFit="1" customWidth="1"/>
    <col min="2582" max="2582" width="10.5" style="250" bestFit="1" customWidth="1"/>
    <col min="2583" max="2820" width="9" style="250"/>
    <col min="2821" max="2821" width="18.75" style="250" customWidth="1"/>
    <col min="2822" max="2824" width="9.75" style="250" customWidth="1"/>
    <col min="2825" max="2825" width="8.625" style="250" customWidth="1"/>
    <col min="2826" max="2826" width="9.75" style="250" customWidth="1"/>
    <col min="2827" max="2827" width="8.625" style="250" customWidth="1"/>
    <col min="2828" max="2828" width="7.875" style="250" customWidth="1"/>
    <col min="2829" max="2830" width="9.75" style="250" customWidth="1"/>
    <col min="2831" max="2831" width="7.875" style="250" customWidth="1"/>
    <col min="2832" max="2832" width="8.625" style="250" customWidth="1"/>
    <col min="2833" max="2833" width="8.625" style="250" bestFit="1" customWidth="1"/>
    <col min="2834" max="2834" width="8.75" style="250" bestFit="1" customWidth="1"/>
    <col min="2835" max="2836" width="8.625" style="250" bestFit="1" customWidth="1"/>
    <col min="2837" max="2837" width="9.75" style="250" bestFit="1" customWidth="1"/>
    <col min="2838" max="2838" width="10.5" style="250" bestFit="1" customWidth="1"/>
    <col min="2839" max="3076" width="9" style="250"/>
    <col min="3077" max="3077" width="18.75" style="250" customWidth="1"/>
    <col min="3078" max="3080" width="9.75" style="250" customWidth="1"/>
    <col min="3081" max="3081" width="8.625" style="250" customWidth="1"/>
    <col min="3082" max="3082" width="9.75" style="250" customWidth="1"/>
    <col min="3083" max="3083" width="8.625" style="250" customWidth="1"/>
    <col min="3084" max="3084" width="7.875" style="250" customWidth="1"/>
    <col min="3085" max="3086" width="9.75" style="250" customWidth="1"/>
    <col min="3087" max="3087" width="7.875" style="250" customWidth="1"/>
    <col min="3088" max="3088" width="8.625" style="250" customWidth="1"/>
    <col min="3089" max="3089" width="8.625" style="250" bestFit="1" customWidth="1"/>
    <col min="3090" max="3090" width="8.75" style="250" bestFit="1" customWidth="1"/>
    <col min="3091" max="3092" width="8.625" style="250" bestFit="1" customWidth="1"/>
    <col min="3093" max="3093" width="9.75" style="250" bestFit="1" customWidth="1"/>
    <col min="3094" max="3094" width="10.5" style="250" bestFit="1" customWidth="1"/>
    <col min="3095" max="3332" width="9" style="250"/>
    <col min="3333" max="3333" width="18.75" style="250" customWidth="1"/>
    <col min="3334" max="3336" width="9.75" style="250" customWidth="1"/>
    <col min="3337" max="3337" width="8.625" style="250" customWidth="1"/>
    <col min="3338" max="3338" width="9.75" style="250" customWidth="1"/>
    <col min="3339" max="3339" width="8.625" style="250" customWidth="1"/>
    <col min="3340" max="3340" width="7.875" style="250" customWidth="1"/>
    <col min="3341" max="3342" width="9.75" style="250" customWidth="1"/>
    <col min="3343" max="3343" width="7.875" style="250" customWidth="1"/>
    <col min="3344" max="3344" width="8.625" style="250" customWidth="1"/>
    <col min="3345" max="3345" width="8.625" style="250" bestFit="1" customWidth="1"/>
    <col min="3346" max="3346" width="8.75" style="250" bestFit="1" customWidth="1"/>
    <col min="3347" max="3348" width="8.625" style="250" bestFit="1" customWidth="1"/>
    <col min="3349" max="3349" width="9.75" style="250" bestFit="1" customWidth="1"/>
    <col min="3350" max="3350" width="10.5" style="250" bestFit="1" customWidth="1"/>
    <col min="3351" max="3588" width="9" style="250"/>
    <col min="3589" max="3589" width="18.75" style="250" customWidth="1"/>
    <col min="3590" max="3592" width="9.75" style="250" customWidth="1"/>
    <col min="3593" max="3593" width="8.625" style="250" customWidth="1"/>
    <col min="3594" max="3594" width="9.75" style="250" customWidth="1"/>
    <col min="3595" max="3595" width="8.625" style="250" customWidth="1"/>
    <col min="3596" max="3596" width="7.875" style="250" customWidth="1"/>
    <col min="3597" max="3598" width="9.75" style="250" customWidth="1"/>
    <col min="3599" max="3599" width="7.875" style="250" customWidth="1"/>
    <col min="3600" max="3600" width="8.625" style="250" customWidth="1"/>
    <col min="3601" max="3601" width="8.625" style="250" bestFit="1" customWidth="1"/>
    <col min="3602" max="3602" width="8.75" style="250" bestFit="1" customWidth="1"/>
    <col min="3603" max="3604" width="8.625" style="250" bestFit="1" customWidth="1"/>
    <col min="3605" max="3605" width="9.75" style="250" bestFit="1" customWidth="1"/>
    <col min="3606" max="3606" width="10.5" style="250" bestFit="1" customWidth="1"/>
    <col min="3607" max="3844" width="9" style="250"/>
    <col min="3845" max="3845" width="18.75" style="250" customWidth="1"/>
    <col min="3846" max="3848" width="9.75" style="250" customWidth="1"/>
    <col min="3849" max="3849" width="8.625" style="250" customWidth="1"/>
    <col min="3850" max="3850" width="9.75" style="250" customWidth="1"/>
    <col min="3851" max="3851" width="8.625" style="250" customWidth="1"/>
    <col min="3852" max="3852" width="7.875" style="250" customWidth="1"/>
    <col min="3853" max="3854" width="9.75" style="250" customWidth="1"/>
    <col min="3855" max="3855" width="7.875" style="250" customWidth="1"/>
    <col min="3856" max="3856" width="8.625" style="250" customWidth="1"/>
    <col min="3857" max="3857" width="8.625" style="250" bestFit="1" customWidth="1"/>
    <col min="3858" max="3858" width="8.75" style="250" bestFit="1" customWidth="1"/>
    <col min="3859" max="3860" width="8.625" style="250" bestFit="1" customWidth="1"/>
    <col min="3861" max="3861" width="9.75" style="250" bestFit="1" customWidth="1"/>
    <col min="3862" max="3862" width="10.5" style="250" bestFit="1" customWidth="1"/>
    <col min="3863" max="4100" width="9" style="250"/>
    <col min="4101" max="4101" width="18.75" style="250" customWidth="1"/>
    <col min="4102" max="4104" width="9.75" style="250" customWidth="1"/>
    <col min="4105" max="4105" width="8.625" style="250" customWidth="1"/>
    <col min="4106" max="4106" width="9.75" style="250" customWidth="1"/>
    <col min="4107" max="4107" width="8.625" style="250" customWidth="1"/>
    <col min="4108" max="4108" width="7.875" style="250" customWidth="1"/>
    <col min="4109" max="4110" width="9.75" style="250" customWidth="1"/>
    <col min="4111" max="4111" width="7.875" style="250" customWidth="1"/>
    <col min="4112" max="4112" width="8.625" style="250" customWidth="1"/>
    <col min="4113" max="4113" width="8.625" style="250" bestFit="1" customWidth="1"/>
    <col min="4114" max="4114" width="8.75" style="250" bestFit="1" customWidth="1"/>
    <col min="4115" max="4116" width="8.625" style="250" bestFit="1" customWidth="1"/>
    <col min="4117" max="4117" width="9.75" style="250" bestFit="1" customWidth="1"/>
    <col min="4118" max="4118" width="10.5" style="250" bestFit="1" customWidth="1"/>
    <col min="4119" max="4356" width="9" style="250"/>
    <col min="4357" max="4357" width="18.75" style="250" customWidth="1"/>
    <col min="4358" max="4360" width="9.75" style="250" customWidth="1"/>
    <col min="4361" max="4361" width="8.625" style="250" customWidth="1"/>
    <col min="4362" max="4362" width="9.75" style="250" customWidth="1"/>
    <col min="4363" max="4363" width="8.625" style="250" customWidth="1"/>
    <col min="4364" max="4364" width="7.875" style="250" customWidth="1"/>
    <col min="4365" max="4366" width="9.75" style="250" customWidth="1"/>
    <col min="4367" max="4367" width="7.875" style="250" customWidth="1"/>
    <col min="4368" max="4368" width="8.625" style="250" customWidth="1"/>
    <col min="4369" max="4369" width="8.625" style="250" bestFit="1" customWidth="1"/>
    <col min="4370" max="4370" width="8.75" style="250" bestFit="1" customWidth="1"/>
    <col min="4371" max="4372" width="8.625" style="250" bestFit="1" customWidth="1"/>
    <col min="4373" max="4373" width="9.75" style="250" bestFit="1" customWidth="1"/>
    <col min="4374" max="4374" width="10.5" style="250" bestFit="1" customWidth="1"/>
    <col min="4375" max="4612" width="9" style="250"/>
    <col min="4613" max="4613" width="18.75" style="250" customWidth="1"/>
    <col min="4614" max="4616" width="9.75" style="250" customWidth="1"/>
    <col min="4617" max="4617" width="8.625" style="250" customWidth="1"/>
    <col min="4618" max="4618" width="9.75" style="250" customWidth="1"/>
    <col min="4619" max="4619" width="8.625" style="250" customWidth="1"/>
    <col min="4620" max="4620" width="7.875" style="250" customWidth="1"/>
    <col min="4621" max="4622" width="9.75" style="250" customWidth="1"/>
    <col min="4623" max="4623" width="7.875" style="250" customWidth="1"/>
    <col min="4624" max="4624" width="8.625" style="250" customWidth="1"/>
    <col min="4625" max="4625" width="8.625" style="250" bestFit="1" customWidth="1"/>
    <col min="4626" max="4626" width="8.75" style="250" bestFit="1" customWidth="1"/>
    <col min="4627" max="4628" width="8.625" style="250" bestFit="1" customWidth="1"/>
    <col min="4629" max="4629" width="9.75" style="250" bestFit="1" customWidth="1"/>
    <col min="4630" max="4630" width="10.5" style="250" bestFit="1" customWidth="1"/>
    <col min="4631" max="4868" width="9" style="250"/>
    <col min="4869" max="4869" width="18.75" style="250" customWidth="1"/>
    <col min="4870" max="4872" width="9.75" style="250" customWidth="1"/>
    <col min="4873" max="4873" width="8.625" style="250" customWidth="1"/>
    <col min="4874" max="4874" width="9.75" style="250" customWidth="1"/>
    <col min="4875" max="4875" width="8.625" style="250" customWidth="1"/>
    <col min="4876" max="4876" width="7.875" style="250" customWidth="1"/>
    <col min="4877" max="4878" width="9.75" style="250" customWidth="1"/>
    <col min="4879" max="4879" width="7.875" style="250" customWidth="1"/>
    <col min="4880" max="4880" width="8.625" style="250" customWidth="1"/>
    <col min="4881" max="4881" width="8.625" style="250" bestFit="1" customWidth="1"/>
    <col min="4882" max="4882" width="8.75" style="250" bestFit="1" customWidth="1"/>
    <col min="4883" max="4884" width="8.625" style="250" bestFit="1" customWidth="1"/>
    <col min="4885" max="4885" width="9.75" style="250" bestFit="1" customWidth="1"/>
    <col min="4886" max="4886" width="10.5" style="250" bestFit="1" customWidth="1"/>
    <col min="4887" max="5124" width="9" style="250"/>
    <col min="5125" max="5125" width="18.75" style="250" customWidth="1"/>
    <col min="5126" max="5128" width="9.75" style="250" customWidth="1"/>
    <col min="5129" max="5129" width="8.625" style="250" customWidth="1"/>
    <col min="5130" max="5130" width="9.75" style="250" customWidth="1"/>
    <col min="5131" max="5131" width="8.625" style="250" customWidth="1"/>
    <col min="5132" max="5132" width="7.875" style="250" customWidth="1"/>
    <col min="5133" max="5134" width="9.75" style="250" customWidth="1"/>
    <col min="5135" max="5135" width="7.875" style="250" customWidth="1"/>
    <col min="5136" max="5136" width="8.625" style="250" customWidth="1"/>
    <col min="5137" max="5137" width="8.625" style="250" bestFit="1" customWidth="1"/>
    <col min="5138" max="5138" width="8.75" style="250" bestFit="1" customWidth="1"/>
    <col min="5139" max="5140" width="8.625" style="250" bestFit="1" customWidth="1"/>
    <col min="5141" max="5141" width="9.75" style="250" bestFit="1" customWidth="1"/>
    <col min="5142" max="5142" width="10.5" style="250" bestFit="1" customWidth="1"/>
    <col min="5143" max="5380" width="9" style="250"/>
    <col min="5381" max="5381" width="18.75" style="250" customWidth="1"/>
    <col min="5382" max="5384" width="9.75" style="250" customWidth="1"/>
    <col min="5385" max="5385" width="8.625" style="250" customWidth="1"/>
    <col min="5386" max="5386" width="9.75" style="250" customWidth="1"/>
    <col min="5387" max="5387" width="8.625" style="250" customWidth="1"/>
    <col min="5388" max="5388" width="7.875" style="250" customWidth="1"/>
    <col min="5389" max="5390" width="9.75" style="250" customWidth="1"/>
    <col min="5391" max="5391" width="7.875" style="250" customWidth="1"/>
    <col min="5392" max="5392" width="8.625" style="250" customWidth="1"/>
    <col min="5393" max="5393" width="8.625" style="250" bestFit="1" customWidth="1"/>
    <col min="5394" max="5394" width="8.75" style="250" bestFit="1" customWidth="1"/>
    <col min="5395" max="5396" width="8.625" style="250" bestFit="1" customWidth="1"/>
    <col min="5397" max="5397" width="9.75" style="250" bestFit="1" customWidth="1"/>
    <col min="5398" max="5398" width="10.5" style="250" bestFit="1" customWidth="1"/>
    <col min="5399" max="5636" width="9" style="250"/>
    <col min="5637" max="5637" width="18.75" style="250" customWidth="1"/>
    <col min="5638" max="5640" width="9.75" style="250" customWidth="1"/>
    <col min="5641" max="5641" width="8.625" style="250" customWidth="1"/>
    <col min="5642" max="5642" width="9.75" style="250" customWidth="1"/>
    <col min="5643" max="5643" width="8.625" style="250" customWidth="1"/>
    <col min="5644" max="5644" width="7.875" style="250" customWidth="1"/>
    <col min="5645" max="5646" width="9.75" style="250" customWidth="1"/>
    <col min="5647" max="5647" width="7.875" style="250" customWidth="1"/>
    <col min="5648" max="5648" width="8.625" style="250" customWidth="1"/>
    <col min="5649" max="5649" width="8.625" style="250" bestFit="1" customWidth="1"/>
    <col min="5650" max="5650" width="8.75" style="250" bestFit="1" customWidth="1"/>
    <col min="5651" max="5652" width="8.625" style="250" bestFit="1" customWidth="1"/>
    <col min="5653" max="5653" width="9.75" style="250" bestFit="1" customWidth="1"/>
    <col min="5654" max="5654" width="10.5" style="250" bestFit="1" customWidth="1"/>
    <col min="5655" max="5892" width="9" style="250"/>
    <col min="5893" max="5893" width="18.75" style="250" customWidth="1"/>
    <col min="5894" max="5896" width="9.75" style="250" customWidth="1"/>
    <col min="5897" max="5897" width="8.625" style="250" customWidth="1"/>
    <col min="5898" max="5898" width="9.75" style="250" customWidth="1"/>
    <col min="5899" max="5899" width="8.625" style="250" customWidth="1"/>
    <col min="5900" max="5900" width="7.875" style="250" customWidth="1"/>
    <col min="5901" max="5902" width="9.75" style="250" customWidth="1"/>
    <col min="5903" max="5903" width="7.875" style="250" customWidth="1"/>
    <col min="5904" max="5904" width="8.625" style="250" customWidth="1"/>
    <col min="5905" max="5905" width="8.625" style="250" bestFit="1" customWidth="1"/>
    <col min="5906" max="5906" width="8.75" style="250" bestFit="1" customWidth="1"/>
    <col min="5907" max="5908" width="8.625" style="250" bestFit="1" customWidth="1"/>
    <col min="5909" max="5909" width="9.75" style="250" bestFit="1" customWidth="1"/>
    <col min="5910" max="5910" width="10.5" style="250" bestFit="1" customWidth="1"/>
    <col min="5911" max="6148" width="9" style="250"/>
    <col min="6149" max="6149" width="18.75" style="250" customWidth="1"/>
    <col min="6150" max="6152" width="9.75" style="250" customWidth="1"/>
    <col min="6153" max="6153" width="8.625" style="250" customWidth="1"/>
    <col min="6154" max="6154" width="9.75" style="250" customWidth="1"/>
    <col min="6155" max="6155" width="8.625" style="250" customWidth="1"/>
    <col min="6156" max="6156" width="7.875" style="250" customWidth="1"/>
    <col min="6157" max="6158" width="9.75" style="250" customWidth="1"/>
    <col min="6159" max="6159" width="7.875" style="250" customWidth="1"/>
    <col min="6160" max="6160" width="8.625" style="250" customWidth="1"/>
    <col min="6161" max="6161" width="8.625" style="250" bestFit="1" customWidth="1"/>
    <col min="6162" max="6162" width="8.75" style="250" bestFit="1" customWidth="1"/>
    <col min="6163" max="6164" width="8.625" style="250" bestFit="1" customWidth="1"/>
    <col min="6165" max="6165" width="9.75" style="250" bestFit="1" customWidth="1"/>
    <col min="6166" max="6166" width="10.5" style="250" bestFit="1" customWidth="1"/>
    <col min="6167" max="6404" width="9" style="250"/>
    <col min="6405" max="6405" width="18.75" style="250" customWidth="1"/>
    <col min="6406" max="6408" width="9.75" style="250" customWidth="1"/>
    <col min="6409" max="6409" width="8.625" style="250" customWidth="1"/>
    <col min="6410" max="6410" width="9.75" style="250" customWidth="1"/>
    <col min="6411" max="6411" width="8.625" style="250" customWidth="1"/>
    <col min="6412" max="6412" width="7.875" style="250" customWidth="1"/>
    <col min="6413" max="6414" width="9.75" style="250" customWidth="1"/>
    <col min="6415" max="6415" width="7.875" style="250" customWidth="1"/>
    <col min="6416" max="6416" width="8.625" style="250" customWidth="1"/>
    <col min="6417" max="6417" width="8.625" style="250" bestFit="1" customWidth="1"/>
    <col min="6418" max="6418" width="8.75" style="250" bestFit="1" customWidth="1"/>
    <col min="6419" max="6420" width="8.625" style="250" bestFit="1" customWidth="1"/>
    <col min="6421" max="6421" width="9.75" style="250" bestFit="1" customWidth="1"/>
    <col min="6422" max="6422" width="10.5" style="250" bestFit="1" customWidth="1"/>
    <col min="6423" max="6660" width="9" style="250"/>
    <col min="6661" max="6661" width="18.75" style="250" customWidth="1"/>
    <col min="6662" max="6664" width="9.75" style="250" customWidth="1"/>
    <col min="6665" max="6665" width="8.625" style="250" customWidth="1"/>
    <col min="6666" max="6666" width="9.75" style="250" customWidth="1"/>
    <col min="6667" max="6667" width="8.625" style="250" customWidth="1"/>
    <col min="6668" max="6668" width="7.875" style="250" customWidth="1"/>
    <col min="6669" max="6670" width="9.75" style="250" customWidth="1"/>
    <col min="6671" max="6671" width="7.875" style="250" customWidth="1"/>
    <col min="6672" max="6672" width="8.625" style="250" customWidth="1"/>
    <col min="6673" max="6673" width="8.625" style="250" bestFit="1" customWidth="1"/>
    <col min="6674" max="6674" width="8.75" style="250" bestFit="1" customWidth="1"/>
    <col min="6675" max="6676" width="8.625" style="250" bestFit="1" customWidth="1"/>
    <col min="6677" max="6677" width="9.75" style="250" bestFit="1" customWidth="1"/>
    <col min="6678" max="6678" width="10.5" style="250" bestFit="1" customWidth="1"/>
    <col min="6679" max="6916" width="9" style="250"/>
    <col min="6917" max="6917" width="18.75" style="250" customWidth="1"/>
    <col min="6918" max="6920" width="9.75" style="250" customWidth="1"/>
    <col min="6921" max="6921" width="8.625" style="250" customWidth="1"/>
    <col min="6922" max="6922" width="9.75" style="250" customWidth="1"/>
    <col min="6923" max="6923" width="8.625" style="250" customWidth="1"/>
    <col min="6924" max="6924" width="7.875" style="250" customWidth="1"/>
    <col min="6925" max="6926" width="9.75" style="250" customWidth="1"/>
    <col min="6927" max="6927" width="7.875" style="250" customWidth="1"/>
    <col min="6928" max="6928" width="8.625" style="250" customWidth="1"/>
    <col min="6929" max="6929" width="8.625" style="250" bestFit="1" customWidth="1"/>
    <col min="6930" max="6930" width="8.75" style="250" bestFit="1" customWidth="1"/>
    <col min="6931" max="6932" width="8.625" style="250" bestFit="1" customWidth="1"/>
    <col min="6933" max="6933" width="9.75" style="250" bestFit="1" customWidth="1"/>
    <col min="6934" max="6934" width="10.5" style="250" bestFit="1" customWidth="1"/>
    <col min="6935" max="7172" width="9" style="250"/>
    <col min="7173" max="7173" width="18.75" style="250" customWidth="1"/>
    <col min="7174" max="7176" width="9.75" style="250" customWidth="1"/>
    <col min="7177" max="7177" width="8.625" style="250" customWidth="1"/>
    <col min="7178" max="7178" width="9.75" style="250" customWidth="1"/>
    <col min="7179" max="7179" width="8.625" style="250" customWidth="1"/>
    <col min="7180" max="7180" width="7.875" style="250" customWidth="1"/>
    <col min="7181" max="7182" width="9.75" style="250" customWidth="1"/>
    <col min="7183" max="7183" width="7.875" style="250" customWidth="1"/>
    <col min="7184" max="7184" width="8.625" style="250" customWidth="1"/>
    <col min="7185" max="7185" width="8.625" style="250" bestFit="1" customWidth="1"/>
    <col min="7186" max="7186" width="8.75" style="250" bestFit="1" customWidth="1"/>
    <col min="7187" max="7188" width="8.625" style="250" bestFit="1" customWidth="1"/>
    <col min="7189" max="7189" width="9.75" style="250" bestFit="1" customWidth="1"/>
    <col min="7190" max="7190" width="10.5" style="250" bestFit="1" customWidth="1"/>
    <col min="7191" max="7428" width="9" style="250"/>
    <col min="7429" max="7429" width="18.75" style="250" customWidth="1"/>
    <col min="7430" max="7432" width="9.75" style="250" customWidth="1"/>
    <col min="7433" max="7433" width="8.625" style="250" customWidth="1"/>
    <col min="7434" max="7434" width="9.75" style="250" customWidth="1"/>
    <col min="7435" max="7435" width="8.625" style="250" customWidth="1"/>
    <col min="7436" max="7436" width="7.875" style="250" customWidth="1"/>
    <col min="7437" max="7438" width="9.75" style="250" customWidth="1"/>
    <col min="7439" max="7439" width="7.875" style="250" customWidth="1"/>
    <col min="7440" max="7440" width="8.625" style="250" customWidth="1"/>
    <col min="7441" max="7441" width="8.625" style="250" bestFit="1" customWidth="1"/>
    <col min="7442" max="7442" width="8.75" style="250" bestFit="1" customWidth="1"/>
    <col min="7443" max="7444" width="8.625" style="250" bestFit="1" customWidth="1"/>
    <col min="7445" max="7445" width="9.75" style="250" bestFit="1" customWidth="1"/>
    <col min="7446" max="7446" width="10.5" style="250" bestFit="1" customWidth="1"/>
    <col min="7447" max="7684" width="9" style="250"/>
    <col min="7685" max="7685" width="18.75" style="250" customWidth="1"/>
    <col min="7686" max="7688" width="9.75" style="250" customWidth="1"/>
    <col min="7689" max="7689" width="8.625" style="250" customWidth="1"/>
    <col min="7690" max="7690" width="9.75" style="250" customWidth="1"/>
    <col min="7691" max="7691" width="8.625" style="250" customWidth="1"/>
    <col min="7692" max="7692" width="7.875" style="250" customWidth="1"/>
    <col min="7693" max="7694" width="9.75" style="250" customWidth="1"/>
    <col min="7695" max="7695" width="7.875" style="250" customWidth="1"/>
    <col min="7696" max="7696" width="8.625" style="250" customWidth="1"/>
    <col min="7697" max="7697" width="8.625" style="250" bestFit="1" customWidth="1"/>
    <col min="7698" max="7698" width="8.75" style="250" bestFit="1" customWidth="1"/>
    <col min="7699" max="7700" width="8.625" style="250" bestFit="1" customWidth="1"/>
    <col min="7701" max="7701" width="9.75" style="250" bestFit="1" customWidth="1"/>
    <col min="7702" max="7702" width="10.5" style="250" bestFit="1" customWidth="1"/>
    <col min="7703" max="7940" width="9" style="250"/>
    <col min="7941" max="7941" width="18.75" style="250" customWidth="1"/>
    <col min="7942" max="7944" width="9.75" style="250" customWidth="1"/>
    <col min="7945" max="7945" width="8.625" style="250" customWidth="1"/>
    <col min="7946" max="7946" width="9.75" style="250" customWidth="1"/>
    <col min="7947" max="7947" width="8.625" style="250" customWidth="1"/>
    <col min="7948" max="7948" width="7.875" style="250" customWidth="1"/>
    <col min="7949" max="7950" width="9.75" style="250" customWidth="1"/>
    <col min="7951" max="7951" width="7.875" style="250" customWidth="1"/>
    <col min="7952" max="7952" width="8.625" style="250" customWidth="1"/>
    <col min="7953" max="7953" width="8.625" style="250" bestFit="1" customWidth="1"/>
    <col min="7954" max="7954" width="8.75" style="250" bestFit="1" customWidth="1"/>
    <col min="7955" max="7956" width="8.625" style="250" bestFit="1" customWidth="1"/>
    <col min="7957" max="7957" width="9.75" style="250" bestFit="1" customWidth="1"/>
    <col min="7958" max="7958" width="10.5" style="250" bestFit="1" customWidth="1"/>
    <col min="7959" max="8196" width="9" style="250"/>
    <col min="8197" max="8197" width="18.75" style="250" customWidth="1"/>
    <col min="8198" max="8200" width="9.75" style="250" customWidth="1"/>
    <col min="8201" max="8201" width="8.625" style="250" customWidth="1"/>
    <col min="8202" max="8202" width="9.75" style="250" customWidth="1"/>
    <col min="8203" max="8203" width="8.625" style="250" customWidth="1"/>
    <col min="8204" max="8204" width="7.875" style="250" customWidth="1"/>
    <col min="8205" max="8206" width="9.75" style="250" customWidth="1"/>
    <col min="8207" max="8207" width="7.875" style="250" customWidth="1"/>
    <col min="8208" max="8208" width="8.625" style="250" customWidth="1"/>
    <col min="8209" max="8209" width="8.625" style="250" bestFit="1" customWidth="1"/>
    <col min="8210" max="8210" width="8.75" style="250" bestFit="1" customWidth="1"/>
    <col min="8211" max="8212" width="8.625" style="250" bestFit="1" customWidth="1"/>
    <col min="8213" max="8213" width="9.75" style="250" bestFit="1" customWidth="1"/>
    <col min="8214" max="8214" width="10.5" style="250" bestFit="1" customWidth="1"/>
    <col min="8215" max="8452" width="9" style="250"/>
    <col min="8453" max="8453" width="18.75" style="250" customWidth="1"/>
    <col min="8454" max="8456" width="9.75" style="250" customWidth="1"/>
    <col min="8457" max="8457" width="8.625" style="250" customWidth="1"/>
    <col min="8458" max="8458" width="9.75" style="250" customWidth="1"/>
    <col min="8459" max="8459" width="8.625" style="250" customWidth="1"/>
    <col min="8460" max="8460" width="7.875" style="250" customWidth="1"/>
    <col min="8461" max="8462" width="9.75" style="250" customWidth="1"/>
    <col min="8463" max="8463" width="7.875" style="250" customWidth="1"/>
    <col min="8464" max="8464" width="8.625" style="250" customWidth="1"/>
    <col min="8465" max="8465" width="8.625" style="250" bestFit="1" customWidth="1"/>
    <col min="8466" max="8466" width="8.75" style="250" bestFit="1" customWidth="1"/>
    <col min="8467" max="8468" width="8.625" style="250" bestFit="1" customWidth="1"/>
    <col min="8469" max="8469" width="9.75" style="250" bestFit="1" customWidth="1"/>
    <col min="8470" max="8470" width="10.5" style="250" bestFit="1" customWidth="1"/>
    <col min="8471" max="8708" width="9" style="250"/>
    <col min="8709" max="8709" width="18.75" style="250" customWidth="1"/>
    <col min="8710" max="8712" width="9.75" style="250" customWidth="1"/>
    <col min="8713" max="8713" width="8.625" style="250" customWidth="1"/>
    <col min="8714" max="8714" width="9.75" style="250" customWidth="1"/>
    <col min="8715" max="8715" width="8.625" style="250" customWidth="1"/>
    <col min="8716" max="8716" width="7.875" style="250" customWidth="1"/>
    <col min="8717" max="8718" width="9.75" style="250" customWidth="1"/>
    <col min="8719" max="8719" width="7.875" style="250" customWidth="1"/>
    <col min="8720" max="8720" width="8.625" style="250" customWidth="1"/>
    <col min="8721" max="8721" width="8.625" style="250" bestFit="1" customWidth="1"/>
    <col min="8722" max="8722" width="8.75" style="250" bestFit="1" customWidth="1"/>
    <col min="8723" max="8724" width="8.625" style="250" bestFit="1" customWidth="1"/>
    <col min="8725" max="8725" width="9.75" style="250" bestFit="1" customWidth="1"/>
    <col min="8726" max="8726" width="10.5" style="250" bestFit="1" customWidth="1"/>
    <col min="8727" max="8964" width="9" style="250"/>
    <col min="8965" max="8965" width="18.75" style="250" customWidth="1"/>
    <col min="8966" max="8968" width="9.75" style="250" customWidth="1"/>
    <col min="8969" max="8969" width="8.625" style="250" customWidth="1"/>
    <col min="8970" max="8970" width="9.75" style="250" customWidth="1"/>
    <col min="8971" max="8971" width="8.625" style="250" customWidth="1"/>
    <col min="8972" max="8972" width="7.875" style="250" customWidth="1"/>
    <col min="8973" max="8974" width="9.75" style="250" customWidth="1"/>
    <col min="8975" max="8975" width="7.875" style="250" customWidth="1"/>
    <col min="8976" max="8976" width="8.625" style="250" customWidth="1"/>
    <col min="8977" max="8977" width="8.625" style="250" bestFit="1" customWidth="1"/>
    <col min="8978" max="8978" width="8.75" style="250" bestFit="1" customWidth="1"/>
    <col min="8979" max="8980" width="8.625" style="250" bestFit="1" customWidth="1"/>
    <col min="8981" max="8981" width="9.75" style="250" bestFit="1" customWidth="1"/>
    <col min="8982" max="8982" width="10.5" style="250" bestFit="1" customWidth="1"/>
    <col min="8983" max="9220" width="9" style="250"/>
    <col min="9221" max="9221" width="18.75" style="250" customWidth="1"/>
    <col min="9222" max="9224" width="9.75" style="250" customWidth="1"/>
    <col min="9225" max="9225" width="8.625" style="250" customWidth="1"/>
    <col min="9226" max="9226" width="9.75" style="250" customWidth="1"/>
    <col min="9227" max="9227" width="8.625" style="250" customWidth="1"/>
    <col min="9228" max="9228" width="7.875" style="250" customWidth="1"/>
    <col min="9229" max="9230" width="9.75" style="250" customWidth="1"/>
    <col min="9231" max="9231" width="7.875" style="250" customWidth="1"/>
    <col min="9232" max="9232" width="8.625" style="250" customWidth="1"/>
    <col min="9233" max="9233" width="8.625" style="250" bestFit="1" customWidth="1"/>
    <col min="9234" max="9234" width="8.75" style="250" bestFit="1" customWidth="1"/>
    <col min="9235" max="9236" width="8.625" style="250" bestFit="1" customWidth="1"/>
    <col min="9237" max="9237" width="9.75" style="250" bestFit="1" customWidth="1"/>
    <col min="9238" max="9238" width="10.5" style="250" bestFit="1" customWidth="1"/>
    <col min="9239" max="9476" width="9" style="250"/>
    <col min="9477" max="9477" width="18.75" style="250" customWidth="1"/>
    <col min="9478" max="9480" width="9.75" style="250" customWidth="1"/>
    <col min="9481" max="9481" width="8.625" style="250" customWidth="1"/>
    <col min="9482" max="9482" width="9.75" style="250" customWidth="1"/>
    <col min="9483" max="9483" width="8.625" style="250" customWidth="1"/>
    <col min="9484" max="9484" width="7.875" style="250" customWidth="1"/>
    <col min="9485" max="9486" width="9.75" style="250" customWidth="1"/>
    <col min="9487" max="9487" width="7.875" style="250" customWidth="1"/>
    <col min="9488" max="9488" width="8.625" style="250" customWidth="1"/>
    <col min="9489" max="9489" width="8.625" style="250" bestFit="1" customWidth="1"/>
    <col min="9490" max="9490" width="8.75" style="250" bestFit="1" customWidth="1"/>
    <col min="9491" max="9492" width="8.625" style="250" bestFit="1" customWidth="1"/>
    <col min="9493" max="9493" width="9.75" style="250" bestFit="1" customWidth="1"/>
    <col min="9494" max="9494" width="10.5" style="250" bestFit="1" customWidth="1"/>
    <col min="9495" max="9732" width="9" style="250"/>
    <col min="9733" max="9733" width="18.75" style="250" customWidth="1"/>
    <col min="9734" max="9736" width="9.75" style="250" customWidth="1"/>
    <col min="9737" max="9737" width="8.625" style="250" customWidth="1"/>
    <col min="9738" max="9738" width="9.75" style="250" customWidth="1"/>
    <col min="9739" max="9739" width="8.625" style="250" customWidth="1"/>
    <col min="9740" max="9740" width="7.875" style="250" customWidth="1"/>
    <col min="9741" max="9742" width="9.75" style="250" customWidth="1"/>
    <col min="9743" max="9743" width="7.875" style="250" customWidth="1"/>
    <col min="9744" max="9744" width="8.625" style="250" customWidth="1"/>
    <col min="9745" max="9745" width="8.625" style="250" bestFit="1" customWidth="1"/>
    <col min="9746" max="9746" width="8.75" style="250" bestFit="1" customWidth="1"/>
    <col min="9747" max="9748" width="8.625" style="250" bestFit="1" customWidth="1"/>
    <col min="9749" max="9749" width="9.75" style="250" bestFit="1" customWidth="1"/>
    <col min="9750" max="9750" width="10.5" style="250" bestFit="1" customWidth="1"/>
    <col min="9751" max="9988" width="9" style="250"/>
    <col min="9989" max="9989" width="18.75" style="250" customWidth="1"/>
    <col min="9990" max="9992" width="9.75" style="250" customWidth="1"/>
    <col min="9993" max="9993" width="8.625" style="250" customWidth="1"/>
    <col min="9994" max="9994" width="9.75" style="250" customWidth="1"/>
    <col min="9995" max="9995" width="8.625" style="250" customWidth="1"/>
    <col min="9996" max="9996" width="7.875" style="250" customWidth="1"/>
    <col min="9997" max="9998" width="9.75" style="250" customWidth="1"/>
    <col min="9999" max="9999" width="7.875" style="250" customWidth="1"/>
    <col min="10000" max="10000" width="8.625" style="250" customWidth="1"/>
    <col min="10001" max="10001" width="8.625" style="250" bestFit="1" customWidth="1"/>
    <col min="10002" max="10002" width="8.75" style="250" bestFit="1" customWidth="1"/>
    <col min="10003" max="10004" width="8.625" style="250" bestFit="1" customWidth="1"/>
    <col min="10005" max="10005" width="9.75" style="250" bestFit="1" customWidth="1"/>
    <col min="10006" max="10006" width="10.5" style="250" bestFit="1" customWidth="1"/>
    <col min="10007" max="10244" width="9" style="250"/>
    <col min="10245" max="10245" width="18.75" style="250" customWidth="1"/>
    <col min="10246" max="10248" width="9.75" style="250" customWidth="1"/>
    <col min="10249" max="10249" width="8.625" style="250" customWidth="1"/>
    <col min="10250" max="10250" width="9.75" style="250" customWidth="1"/>
    <col min="10251" max="10251" width="8.625" style="250" customWidth="1"/>
    <col min="10252" max="10252" width="7.875" style="250" customWidth="1"/>
    <col min="10253" max="10254" width="9.75" style="250" customWidth="1"/>
    <col min="10255" max="10255" width="7.875" style="250" customWidth="1"/>
    <col min="10256" max="10256" width="8.625" style="250" customWidth="1"/>
    <col min="10257" max="10257" width="8.625" style="250" bestFit="1" customWidth="1"/>
    <col min="10258" max="10258" width="8.75" style="250" bestFit="1" customWidth="1"/>
    <col min="10259" max="10260" width="8.625" style="250" bestFit="1" customWidth="1"/>
    <col min="10261" max="10261" width="9.75" style="250" bestFit="1" customWidth="1"/>
    <col min="10262" max="10262" width="10.5" style="250" bestFit="1" customWidth="1"/>
    <col min="10263" max="10500" width="9" style="250"/>
    <col min="10501" max="10501" width="18.75" style="250" customWidth="1"/>
    <col min="10502" max="10504" width="9.75" style="250" customWidth="1"/>
    <col min="10505" max="10505" width="8.625" style="250" customWidth="1"/>
    <col min="10506" max="10506" width="9.75" style="250" customWidth="1"/>
    <col min="10507" max="10507" width="8.625" style="250" customWidth="1"/>
    <col min="10508" max="10508" width="7.875" style="250" customWidth="1"/>
    <col min="10509" max="10510" width="9.75" style="250" customWidth="1"/>
    <col min="10511" max="10511" width="7.875" style="250" customWidth="1"/>
    <col min="10512" max="10512" width="8.625" style="250" customWidth="1"/>
    <col min="10513" max="10513" width="8.625" style="250" bestFit="1" customWidth="1"/>
    <col min="10514" max="10514" width="8.75" style="250" bestFit="1" customWidth="1"/>
    <col min="10515" max="10516" width="8.625" style="250" bestFit="1" customWidth="1"/>
    <col min="10517" max="10517" width="9.75" style="250" bestFit="1" customWidth="1"/>
    <col min="10518" max="10518" width="10.5" style="250" bestFit="1" customWidth="1"/>
    <col min="10519" max="10756" width="9" style="250"/>
    <col min="10757" max="10757" width="18.75" style="250" customWidth="1"/>
    <col min="10758" max="10760" width="9.75" style="250" customWidth="1"/>
    <col min="10761" max="10761" width="8.625" style="250" customWidth="1"/>
    <col min="10762" max="10762" width="9.75" style="250" customWidth="1"/>
    <col min="10763" max="10763" width="8.625" style="250" customWidth="1"/>
    <col min="10764" max="10764" width="7.875" style="250" customWidth="1"/>
    <col min="10765" max="10766" width="9.75" style="250" customWidth="1"/>
    <col min="10767" max="10767" width="7.875" style="250" customWidth="1"/>
    <col min="10768" max="10768" width="8.625" style="250" customWidth="1"/>
    <col min="10769" max="10769" width="8.625" style="250" bestFit="1" customWidth="1"/>
    <col min="10770" max="10770" width="8.75" style="250" bestFit="1" customWidth="1"/>
    <col min="10771" max="10772" width="8.625" style="250" bestFit="1" customWidth="1"/>
    <col min="10773" max="10773" width="9.75" style="250" bestFit="1" customWidth="1"/>
    <col min="10774" max="10774" width="10.5" style="250" bestFit="1" customWidth="1"/>
    <col min="10775" max="11012" width="9" style="250"/>
    <col min="11013" max="11013" width="18.75" style="250" customWidth="1"/>
    <col min="11014" max="11016" width="9.75" style="250" customWidth="1"/>
    <col min="11017" max="11017" width="8.625" style="250" customWidth="1"/>
    <col min="11018" max="11018" width="9.75" style="250" customWidth="1"/>
    <col min="11019" max="11019" width="8.625" style="250" customWidth="1"/>
    <col min="11020" max="11020" width="7.875" style="250" customWidth="1"/>
    <col min="11021" max="11022" width="9.75" style="250" customWidth="1"/>
    <col min="11023" max="11023" width="7.875" style="250" customWidth="1"/>
    <col min="11024" max="11024" width="8.625" style="250" customWidth="1"/>
    <col min="11025" max="11025" width="8.625" style="250" bestFit="1" customWidth="1"/>
    <col min="11026" max="11026" width="8.75" style="250" bestFit="1" customWidth="1"/>
    <col min="11027" max="11028" width="8.625" style="250" bestFit="1" customWidth="1"/>
    <col min="11029" max="11029" width="9.75" style="250" bestFit="1" customWidth="1"/>
    <col min="11030" max="11030" width="10.5" style="250" bestFit="1" customWidth="1"/>
    <col min="11031" max="11268" width="9" style="250"/>
    <col min="11269" max="11269" width="18.75" style="250" customWidth="1"/>
    <col min="11270" max="11272" width="9.75" style="250" customWidth="1"/>
    <col min="11273" max="11273" width="8.625" style="250" customWidth="1"/>
    <col min="11274" max="11274" width="9.75" style="250" customWidth="1"/>
    <col min="11275" max="11275" width="8.625" style="250" customWidth="1"/>
    <col min="11276" max="11276" width="7.875" style="250" customWidth="1"/>
    <col min="11277" max="11278" width="9.75" style="250" customWidth="1"/>
    <col min="11279" max="11279" width="7.875" style="250" customWidth="1"/>
    <col min="11280" max="11280" width="8.625" style="250" customWidth="1"/>
    <col min="11281" max="11281" width="8.625" style="250" bestFit="1" customWidth="1"/>
    <col min="11282" max="11282" width="8.75" style="250" bestFit="1" customWidth="1"/>
    <col min="11283" max="11284" width="8.625" style="250" bestFit="1" customWidth="1"/>
    <col min="11285" max="11285" width="9.75" style="250" bestFit="1" customWidth="1"/>
    <col min="11286" max="11286" width="10.5" style="250" bestFit="1" customWidth="1"/>
    <col min="11287" max="11524" width="9" style="250"/>
    <col min="11525" max="11525" width="18.75" style="250" customWidth="1"/>
    <col min="11526" max="11528" width="9.75" style="250" customWidth="1"/>
    <col min="11529" max="11529" width="8.625" style="250" customWidth="1"/>
    <col min="11530" max="11530" width="9.75" style="250" customWidth="1"/>
    <col min="11531" max="11531" width="8.625" style="250" customWidth="1"/>
    <col min="11532" max="11532" width="7.875" style="250" customWidth="1"/>
    <col min="11533" max="11534" width="9.75" style="250" customWidth="1"/>
    <col min="11535" max="11535" width="7.875" style="250" customWidth="1"/>
    <col min="11536" max="11536" width="8.625" style="250" customWidth="1"/>
    <col min="11537" max="11537" width="8.625" style="250" bestFit="1" customWidth="1"/>
    <col min="11538" max="11538" width="8.75" style="250" bestFit="1" customWidth="1"/>
    <col min="11539" max="11540" width="8.625" style="250" bestFit="1" customWidth="1"/>
    <col min="11541" max="11541" width="9.75" style="250" bestFit="1" customWidth="1"/>
    <col min="11542" max="11542" width="10.5" style="250" bestFit="1" customWidth="1"/>
    <col min="11543" max="11780" width="9" style="250"/>
    <col min="11781" max="11781" width="18.75" style="250" customWidth="1"/>
    <col min="11782" max="11784" width="9.75" style="250" customWidth="1"/>
    <col min="11785" max="11785" width="8.625" style="250" customWidth="1"/>
    <col min="11786" max="11786" width="9.75" style="250" customWidth="1"/>
    <col min="11787" max="11787" width="8.625" style="250" customWidth="1"/>
    <col min="11788" max="11788" width="7.875" style="250" customWidth="1"/>
    <col min="11789" max="11790" width="9.75" style="250" customWidth="1"/>
    <col min="11791" max="11791" width="7.875" style="250" customWidth="1"/>
    <col min="11792" max="11792" width="8.625" style="250" customWidth="1"/>
    <col min="11793" max="11793" width="8.625" style="250" bestFit="1" customWidth="1"/>
    <col min="11794" max="11794" width="8.75" style="250" bestFit="1" customWidth="1"/>
    <col min="11795" max="11796" width="8.625" style="250" bestFit="1" customWidth="1"/>
    <col min="11797" max="11797" width="9.75" style="250" bestFit="1" customWidth="1"/>
    <col min="11798" max="11798" width="10.5" style="250" bestFit="1" customWidth="1"/>
    <col min="11799" max="12036" width="9" style="250"/>
    <col min="12037" max="12037" width="18.75" style="250" customWidth="1"/>
    <col min="12038" max="12040" width="9.75" style="250" customWidth="1"/>
    <col min="12041" max="12041" width="8.625" style="250" customWidth="1"/>
    <col min="12042" max="12042" width="9.75" style="250" customWidth="1"/>
    <col min="12043" max="12043" width="8.625" style="250" customWidth="1"/>
    <col min="12044" max="12044" width="7.875" style="250" customWidth="1"/>
    <col min="12045" max="12046" width="9.75" style="250" customWidth="1"/>
    <col min="12047" max="12047" width="7.875" style="250" customWidth="1"/>
    <col min="12048" max="12048" width="8.625" style="250" customWidth="1"/>
    <col min="12049" max="12049" width="8.625" style="250" bestFit="1" customWidth="1"/>
    <col min="12050" max="12050" width="8.75" style="250" bestFit="1" customWidth="1"/>
    <col min="12051" max="12052" width="8.625" style="250" bestFit="1" customWidth="1"/>
    <col min="12053" max="12053" width="9.75" style="250" bestFit="1" customWidth="1"/>
    <col min="12054" max="12054" width="10.5" style="250" bestFit="1" customWidth="1"/>
    <col min="12055" max="12292" width="9" style="250"/>
    <col min="12293" max="12293" width="18.75" style="250" customWidth="1"/>
    <col min="12294" max="12296" width="9.75" style="250" customWidth="1"/>
    <col min="12297" max="12297" width="8.625" style="250" customWidth="1"/>
    <col min="12298" max="12298" width="9.75" style="250" customWidth="1"/>
    <col min="12299" max="12299" width="8.625" style="250" customWidth="1"/>
    <col min="12300" max="12300" width="7.875" style="250" customWidth="1"/>
    <col min="12301" max="12302" width="9.75" style="250" customWidth="1"/>
    <col min="12303" max="12303" width="7.875" style="250" customWidth="1"/>
    <col min="12304" max="12304" width="8.625" style="250" customWidth="1"/>
    <col min="12305" max="12305" width="8.625" style="250" bestFit="1" customWidth="1"/>
    <col min="12306" max="12306" width="8.75" style="250" bestFit="1" customWidth="1"/>
    <col min="12307" max="12308" width="8.625" style="250" bestFit="1" customWidth="1"/>
    <col min="12309" max="12309" width="9.75" style="250" bestFit="1" customWidth="1"/>
    <col min="12310" max="12310" width="10.5" style="250" bestFit="1" customWidth="1"/>
    <col min="12311" max="12548" width="9" style="250"/>
    <col min="12549" max="12549" width="18.75" style="250" customWidth="1"/>
    <col min="12550" max="12552" width="9.75" style="250" customWidth="1"/>
    <col min="12553" max="12553" width="8.625" style="250" customWidth="1"/>
    <col min="12554" max="12554" width="9.75" style="250" customWidth="1"/>
    <col min="12555" max="12555" width="8.625" style="250" customWidth="1"/>
    <col min="12556" max="12556" width="7.875" style="250" customWidth="1"/>
    <col min="12557" max="12558" width="9.75" style="250" customWidth="1"/>
    <col min="12559" max="12559" width="7.875" style="250" customWidth="1"/>
    <col min="12560" max="12560" width="8.625" style="250" customWidth="1"/>
    <col min="12561" max="12561" width="8.625" style="250" bestFit="1" customWidth="1"/>
    <col min="12562" max="12562" width="8.75" style="250" bestFit="1" customWidth="1"/>
    <col min="12563" max="12564" width="8.625" style="250" bestFit="1" customWidth="1"/>
    <col min="12565" max="12565" width="9.75" style="250" bestFit="1" customWidth="1"/>
    <col min="12566" max="12566" width="10.5" style="250" bestFit="1" customWidth="1"/>
    <col min="12567" max="12804" width="9" style="250"/>
    <col min="12805" max="12805" width="18.75" style="250" customWidth="1"/>
    <col min="12806" max="12808" width="9.75" style="250" customWidth="1"/>
    <col min="12809" max="12809" width="8.625" style="250" customWidth="1"/>
    <col min="12810" max="12810" width="9.75" style="250" customWidth="1"/>
    <col min="12811" max="12811" width="8.625" style="250" customWidth="1"/>
    <col min="12812" max="12812" width="7.875" style="250" customWidth="1"/>
    <col min="12813" max="12814" width="9.75" style="250" customWidth="1"/>
    <col min="12815" max="12815" width="7.875" style="250" customWidth="1"/>
    <col min="12816" max="12816" width="8.625" style="250" customWidth="1"/>
    <col min="12817" max="12817" width="8.625" style="250" bestFit="1" customWidth="1"/>
    <col min="12818" max="12818" width="8.75" style="250" bestFit="1" customWidth="1"/>
    <col min="12819" max="12820" width="8.625" style="250" bestFit="1" customWidth="1"/>
    <col min="12821" max="12821" width="9.75" style="250" bestFit="1" customWidth="1"/>
    <col min="12822" max="12822" width="10.5" style="250" bestFit="1" customWidth="1"/>
    <col min="12823" max="13060" width="9" style="250"/>
    <col min="13061" max="13061" width="18.75" style="250" customWidth="1"/>
    <col min="13062" max="13064" width="9.75" style="250" customWidth="1"/>
    <col min="13065" max="13065" width="8.625" style="250" customWidth="1"/>
    <col min="13066" max="13066" width="9.75" style="250" customWidth="1"/>
    <col min="13067" max="13067" width="8.625" style="250" customWidth="1"/>
    <col min="13068" max="13068" width="7.875" style="250" customWidth="1"/>
    <col min="13069" max="13070" width="9.75" style="250" customWidth="1"/>
    <col min="13071" max="13071" width="7.875" style="250" customWidth="1"/>
    <col min="13072" max="13072" width="8.625" style="250" customWidth="1"/>
    <col min="13073" max="13073" width="8.625" style="250" bestFit="1" customWidth="1"/>
    <col min="13074" max="13074" width="8.75" style="250" bestFit="1" customWidth="1"/>
    <col min="13075" max="13076" width="8.625" style="250" bestFit="1" customWidth="1"/>
    <col min="13077" max="13077" width="9.75" style="250" bestFit="1" customWidth="1"/>
    <col min="13078" max="13078" width="10.5" style="250" bestFit="1" customWidth="1"/>
    <col min="13079" max="13316" width="9" style="250"/>
    <col min="13317" max="13317" width="18.75" style="250" customWidth="1"/>
    <col min="13318" max="13320" width="9.75" style="250" customWidth="1"/>
    <col min="13321" max="13321" width="8.625" style="250" customWidth="1"/>
    <col min="13322" max="13322" width="9.75" style="250" customWidth="1"/>
    <col min="13323" max="13323" width="8.625" style="250" customWidth="1"/>
    <col min="13324" max="13324" width="7.875" style="250" customWidth="1"/>
    <col min="13325" max="13326" width="9.75" style="250" customWidth="1"/>
    <col min="13327" max="13327" width="7.875" style="250" customWidth="1"/>
    <col min="13328" max="13328" width="8.625" style="250" customWidth="1"/>
    <col min="13329" max="13329" width="8.625" style="250" bestFit="1" customWidth="1"/>
    <col min="13330" max="13330" width="8.75" style="250" bestFit="1" customWidth="1"/>
    <col min="13331" max="13332" width="8.625" style="250" bestFit="1" customWidth="1"/>
    <col min="13333" max="13333" width="9.75" style="250" bestFit="1" customWidth="1"/>
    <col min="13334" max="13334" width="10.5" style="250" bestFit="1" customWidth="1"/>
    <col min="13335" max="13572" width="9" style="250"/>
    <col min="13573" max="13573" width="18.75" style="250" customWidth="1"/>
    <col min="13574" max="13576" width="9.75" style="250" customWidth="1"/>
    <col min="13577" max="13577" width="8.625" style="250" customWidth="1"/>
    <col min="13578" max="13578" width="9.75" style="250" customWidth="1"/>
    <col min="13579" max="13579" width="8.625" style="250" customWidth="1"/>
    <col min="13580" max="13580" width="7.875" style="250" customWidth="1"/>
    <col min="13581" max="13582" width="9.75" style="250" customWidth="1"/>
    <col min="13583" max="13583" width="7.875" style="250" customWidth="1"/>
    <col min="13584" max="13584" width="8.625" style="250" customWidth="1"/>
    <col min="13585" max="13585" width="8.625" style="250" bestFit="1" customWidth="1"/>
    <col min="13586" max="13586" width="8.75" style="250" bestFit="1" customWidth="1"/>
    <col min="13587" max="13588" width="8.625" style="250" bestFit="1" customWidth="1"/>
    <col min="13589" max="13589" width="9.75" style="250" bestFit="1" customWidth="1"/>
    <col min="13590" max="13590" width="10.5" style="250" bestFit="1" customWidth="1"/>
    <col min="13591" max="13828" width="9" style="250"/>
    <col min="13829" max="13829" width="18.75" style="250" customWidth="1"/>
    <col min="13830" max="13832" width="9.75" style="250" customWidth="1"/>
    <col min="13833" max="13833" width="8.625" style="250" customWidth="1"/>
    <col min="13834" max="13834" width="9.75" style="250" customWidth="1"/>
    <col min="13835" max="13835" width="8.625" style="250" customWidth="1"/>
    <col min="13836" max="13836" width="7.875" style="250" customWidth="1"/>
    <col min="13837" max="13838" width="9.75" style="250" customWidth="1"/>
    <col min="13839" max="13839" width="7.875" style="250" customWidth="1"/>
    <col min="13840" max="13840" width="8.625" style="250" customWidth="1"/>
    <col min="13841" max="13841" width="8.625" style="250" bestFit="1" customWidth="1"/>
    <col min="13842" max="13842" width="8.75" style="250" bestFit="1" customWidth="1"/>
    <col min="13843" max="13844" width="8.625" style="250" bestFit="1" customWidth="1"/>
    <col min="13845" max="13845" width="9.75" style="250" bestFit="1" customWidth="1"/>
    <col min="13846" max="13846" width="10.5" style="250" bestFit="1" customWidth="1"/>
    <col min="13847" max="14084" width="9" style="250"/>
    <col min="14085" max="14085" width="18.75" style="250" customWidth="1"/>
    <col min="14086" max="14088" width="9.75" style="250" customWidth="1"/>
    <col min="14089" max="14089" width="8.625" style="250" customWidth="1"/>
    <col min="14090" max="14090" width="9.75" style="250" customWidth="1"/>
    <col min="14091" max="14091" width="8.625" style="250" customWidth="1"/>
    <col min="14092" max="14092" width="7.875" style="250" customWidth="1"/>
    <col min="14093" max="14094" width="9.75" style="250" customWidth="1"/>
    <col min="14095" max="14095" width="7.875" style="250" customWidth="1"/>
    <col min="14096" max="14096" width="8.625" style="250" customWidth="1"/>
    <col min="14097" max="14097" width="8.625" style="250" bestFit="1" customWidth="1"/>
    <col min="14098" max="14098" width="8.75" style="250" bestFit="1" customWidth="1"/>
    <col min="14099" max="14100" width="8.625" style="250" bestFit="1" customWidth="1"/>
    <col min="14101" max="14101" width="9.75" style="250" bestFit="1" customWidth="1"/>
    <col min="14102" max="14102" width="10.5" style="250" bestFit="1" customWidth="1"/>
    <col min="14103" max="14340" width="9" style="250"/>
    <col min="14341" max="14341" width="18.75" style="250" customWidth="1"/>
    <col min="14342" max="14344" width="9.75" style="250" customWidth="1"/>
    <col min="14345" max="14345" width="8.625" style="250" customWidth="1"/>
    <col min="14346" max="14346" width="9.75" style="250" customWidth="1"/>
    <col min="14347" max="14347" width="8.625" style="250" customWidth="1"/>
    <col min="14348" max="14348" width="7.875" style="250" customWidth="1"/>
    <col min="14349" max="14350" width="9.75" style="250" customWidth="1"/>
    <col min="14351" max="14351" width="7.875" style="250" customWidth="1"/>
    <col min="14352" max="14352" width="8.625" style="250" customWidth="1"/>
    <col min="14353" max="14353" width="8.625" style="250" bestFit="1" customWidth="1"/>
    <col min="14354" max="14354" width="8.75" style="250" bestFit="1" customWidth="1"/>
    <col min="14355" max="14356" width="8.625" style="250" bestFit="1" customWidth="1"/>
    <col min="14357" max="14357" width="9.75" style="250" bestFit="1" customWidth="1"/>
    <col min="14358" max="14358" width="10.5" style="250" bestFit="1" customWidth="1"/>
    <col min="14359" max="14596" width="9" style="250"/>
    <col min="14597" max="14597" width="18.75" style="250" customWidth="1"/>
    <col min="14598" max="14600" width="9.75" style="250" customWidth="1"/>
    <col min="14601" max="14601" width="8.625" style="250" customWidth="1"/>
    <col min="14602" max="14602" width="9.75" style="250" customWidth="1"/>
    <col min="14603" max="14603" width="8.625" style="250" customWidth="1"/>
    <col min="14604" max="14604" width="7.875" style="250" customWidth="1"/>
    <col min="14605" max="14606" width="9.75" style="250" customWidth="1"/>
    <col min="14607" max="14607" width="7.875" style="250" customWidth="1"/>
    <col min="14608" max="14608" width="8.625" style="250" customWidth="1"/>
    <col min="14609" max="14609" width="8.625" style="250" bestFit="1" customWidth="1"/>
    <col min="14610" max="14610" width="8.75" style="250" bestFit="1" customWidth="1"/>
    <col min="14611" max="14612" width="8.625" style="250" bestFit="1" customWidth="1"/>
    <col min="14613" max="14613" width="9.75" style="250" bestFit="1" customWidth="1"/>
    <col min="14614" max="14614" width="10.5" style="250" bestFit="1" customWidth="1"/>
    <col min="14615" max="14852" width="9" style="250"/>
    <col min="14853" max="14853" width="18.75" style="250" customWidth="1"/>
    <col min="14854" max="14856" width="9.75" style="250" customWidth="1"/>
    <col min="14857" max="14857" width="8.625" style="250" customWidth="1"/>
    <col min="14858" max="14858" width="9.75" style="250" customWidth="1"/>
    <col min="14859" max="14859" width="8.625" style="250" customWidth="1"/>
    <col min="14860" max="14860" width="7.875" style="250" customWidth="1"/>
    <col min="14861" max="14862" width="9.75" style="250" customWidth="1"/>
    <col min="14863" max="14863" width="7.875" style="250" customWidth="1"/>
    <col min="14864" max="14864" width="8.625" style="250" customWidth="1"/>
    <col min="14865" max="14865" width="8.625" style="250" bestFit="1" customWidth="1"/>
    <col min="14866" max="14866" width="8.75" style="250" bestFit="1" customWidth="1"/>
    <col min="14867" max="14868" width="8.625" style="250" bestFit="1" customWidth="1"/>
    <col min="14869" max="14869" width="9.75" style="250" bestFit="1" customWidth="1"/>
    <col min="14870" max="14870" width="10.5" style="250" bestFit="1" customWidth="1"/>
    <col min="14871" max="15108" width="9" style="250"/>
    <col min="15109" max="15109" width="18.75" style="250" customWidth="1"/>
    <col min="15110" max="15112" width="9.75" style="250" customWidth="1"/>
    <col min="15113" max="15113" width="8.625" style="250" customWidth="1"/>
    <col min="15114" max="15114" width="9.75" style="250" customWidth="1"/>
    <col min="15115" max="15115" width="8.625" style="250" customWidth="1"/>
    <col min="15116" max="15116" width="7.875" style="250" customWidth="1"/>
    <col min="15117" max="15118" width="9.75" style="250" customWidth="1"/>
    <col min="15119" max="15119" width="7.875" style="250" customWidth="1"/>
    <col min="15120" max="15120" width="8.625" style="250" customWidth="1"/>
    <col min="15121" max="15121" width="8.625" style="250" bestFit="1" customWidth="1"/>
    <col min="15122" max="15122" width="8.75" style="250" bestFit="1" customWidth="1"/>
    <col min="15123" max="15124" width="8.625" style="250" bestFit="1" customWidth="1"/>
    <col min="15125" max="15125" width="9.75" style="250" bestFit="1" customWidth="1"/>
    <col min="15126" max="15126" width="10.5" style="250" bestFit="1" customWidth="1"/>
    <col min="15127" max="15364" width="9" style="250"/>
    <col min="15365" max="15365" width="18.75" style="250" customWidth="1"/>
    <col min="15366" max="15368" width="9.75" style="250" customWidth="1"/>
    <col min="15369" max="15369" width="8.625" style="250" customWidth="1"/>
    <col min="15370" max="15370" width="9.75" style="250" customWidth="1"/>
    <col min="15371" max="15371" width="8.625" style="250" customWidth="1"/>
    <col min="15372" max="15372" width="7.875" style="250" customWidth="1"/>
    <col min="15373" max="15374" width="9.75" style="250" customWidth="1"/>
    <col min="15375" max="15375" width="7.875" style="250" customWidth="1"/>
    <col min="15376" max="15376" width="8.625" style="250" customWidth="1"/>
    <col min="15377" max="15377" width="8.625" style="250" bestFit="1" customWidth="1"/>
    <col min="15378" max="15378" width="8.75" style="250" bestFit="1" customWidth="1"/>
    <col min="15379" max="15380" width="8.625" style="250" bestFit="1" customWidth="1"/>
    <col min="15381" max="15381" width="9.75" style="250" bestFit="1" customWidth="1"/>
    <col min="15382" max="15382" width="10.5" style="250" bestFit="1" customWidth="1"/>
    <col min="15383" max="15620" width="9" style="250"/>
    <col min="15621" max="15621" width="18.75" style="250" customWidth="1"/>
    <col min="15622" max="15624" width="9.75" style="250" customWidth="1"/>
    <col min="15625" max="15625" width="8.625" style="250" customWidth="1"/>
    <col min="15626" max="15626" width="9.75" style="250" customWidth="1"/>
    <col min="15627" max="15627" width="8.625" style="250" customWidth="1"/>
    <col min="15628" max="15628" width="7.875" style="250" customWidth="1"/>
    <col min="15629" max="15630" width="9.75" style="250" customWidth="1"/>
    <col min="15631" max="15631" width="7.875" style="250" customWidth="1"/>
    <col min="15632" max="15632" width="8.625" style="250" customWidth="1"/>
    <col min="15633" max="15633" width="8.625" style="250" bestFit="1" customWidth="1"/>
    <col min="15634" max="15634" width="8.75" style="250" bestFit="1" customWidth="1"/>
    <col min="15635" max="15636" width="8.625" style="250" bestFit="1" customWidth="1"/>
    <col min="15637" max="15637" width="9.75" style="250" bestFit="1" customWidth="1"/>
    <col min="15638" max="15638" width="10.5" style="250" bestFit="1" customWidth="1"/>
    <col min="15639" max="15876" width="9" style="250"/>
    <col min="15877" max="15877" width="18.75" style="250" customWidth="1"/>
    <col min="15878" max="15880" width="9.75" style="250" customWidth="1"/>
    <col min="15881" max="15881" width="8.625" style="250" customWidth="1"/>
    <col min="15882" max="15882" width="9.75" style="250" customWidth="1"/>
    <col min="15883" max="15883" width="8.625" style="250" customWidth="1"/>
    <col min="15884" max="15884" width="7.875" style="250" customWidth="1"/>
    <col min="15885" max="15886" width="9.75" style="250" customWidth="1"/>
    <col min="15887" max="15887" width="7.875" style="250" customWidth="1"/>
    <col min="15888" max="15888" width="8.625" style="250" customWidth="1"/>
    <col min="15889" max="15889" width="8.625" style="250" bestFit="1" customWidth="1"/>
    <col min="15890" max="15890" width="8.75" style="250" bestFit="1" customWidth="1"/>
    <col min="15891" max="15892" width="8.625" style="250" bestFit="1" customWidth="1"/>
    <col min="15893" max="15893" width="9.75" style="250" bestFit="1" customWidth="1"/>
    <col min="15894" max="15894" width="10.5" style="250" bestFit="1" customWidth="1"/>
    <col min="15895" max="16132" width="9" style="250"/>
    <col min="16133" max="16133" width="18.75" style="250" customWidth="1"/>
    <col min="16134" max="16136" width="9.75" style="250" customWidth="1"/>
    <col min="16137" max="16137" width="8.625" style="250" customWidth="1"/>
    <col min="16138" max="16138" width="9.75" style="250" customWidth="1"/>
    <col min="16139" max="16139" width="8.625" style="250" customWidth="1"/>
    <col min="16140" max="16140" width="7.875" style="250" customWidth="1"/>
    <col min="16141" max="16142" width="9.75" style="250" customWidth="1"/>
    <col min="16143" max="16143" width="7.875" style="250" customWidth="1"/>
    <col min="16144" max="16144" width="8.625" style="250" customWidth="1"/>
    <col min="16145" max="16145" width="8.625" style="250" bestFit="1" customWidth="1"/>
    <col min="16146" max="16146" width="8.75" style="250" bestFit="1" customWidth="1"/>
    <col min="16147" max="16148" width="8.625" style="250" bestFit="1" customWidth="1"/>
    <col min="16149" max="16149" width="9.75" style="250" bestFit="1" customWidth="1"/>
    <col min="16150" max="16150" width="10.5" style="250" bestFit="1" customWidth="1"/>
    <col min="16151" max="16384" width="9" style="250"/>
  </cols>
  <sheetData>
    <row r="1" spans="1:22" ht="22.5" thickBot="1">
      <c r="A1" s="451" t="s">
        <v>162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</row>
    <row r="2" spans="1:22" s="256" customFormat="1" ht="21" customHeight="1">
      <c r="A2" s="251" t="s">
        <v>121</v>
      </c>
      <c r="B2" s="446" t="s">
        <v>122</v>
      </c>
      <c r="C2" s="447"/>
      <c r="D2" s="448"/>
      <c r="E2" s="446" t="s">
        <v>123</v>
      </c>
      <c r="F2" s="448"/>
      <c r="G2" s="446" t="s">
        <v>124</v>
      </c>
      <c r="H2" s="448"/>
      <c r="I2" s="252" t="s">
        <v>125</v>
      </c>
      <c r="J2" s="253" t="s">
        <v>204</v>
      </c>
      <c r="K2" s="446" t="s">
        <v>126</v>
      </c>
      <c r="L2" s="448"/>
      <c r="M2" s="449" t="s">
        <v>127</v>
      </c>
      <c r="N2" s="450"/>
      <c r="O2" s="446" t="s">
        <v>128</v>
      </c>
      <c r="P2" s="447"/>
      <c r="Q2" s="448"/>
      <c r="R2" s="449" t="s">
        <v>129</v>
      </c>
      <c r="S2" s="450"/>
      <c r="T2" s="254" t="s">
        <v>130</v>
      </c>
      <c r="U2" s="252" t="s">
        <v>131</v>
      </c>
      <c r="V2" s="255" t="s">
        <v>109</v>
      </c>
    </row>
    <row r="3" spans="1:22" s="256" customFormat="1" ht="21" customHeight="1" thickBot="1">
      <c r="A3" s="257" t="s">
        <v>132</v>
      </c>
      <c r="B3" s="258" t="s">
        <v>133</v>
      </c>
      <c r="C3" s="259" t="s">
        <v>134</v>
      </c>
      <c r="D3" s="259" t="s">
        <v>135</v>
      </c>
      <c r="E3" s="260" t="s">
        <v>136</v>
      </c>
      <c r="F3" s="260" t="s">
        <v>205</v>
      </c>
      <c r="G3" s="258" t="s">
        <v>167</v>
      </c>
      <c r="H3" s="258" t="s">
        <v>137</v>
      </c>
      <c r="I3" s="258" t="s">
        <v>138</v>
      </c>
      <c r="J3" s="261" t="s">
        <v>206</v>
      </c>
      <c r="K3" s="260" t="s">
        <v>139</v>
      </c>
      <c r="L3" s="260" t="s">
        <v>140</v>
      </c>
      <c r="M3" s="262" t="s">
        <v>141</v>
      </c>
      <c r="N3" s="262" t="s">
        <v>168</v>
      </c>
      <c r="O3" s="263" t="s">
        <v>142</v>
      </c>
      <c r="P3" s="259" t="s">
        <v>143</v>
      </c>
      <c r="Q3" s="264" t="s">
        <v>144</v>
      </c>
      <c r="R3" s="262" t="s">
        <v>145</v>
      </c>
      <c r="S3" s="262" t="s">
        <v>207</v>
      </c>
      <c r="T3" s="262" t="s">
        <v>146</v>
      </c>
      <c r="U3" s="260" t="s">
        <v>147</v>
      </c>
      <c r="V3" s="265"/>
    </row>
    <row r="4" spans="1:22" ht="21" customHeight="1">
      <c r="A4" s="277">
        <v>532000</v>
      </c>
      <c r="B4" s="275"/>
      <c r="C4" s="288"/>
      <c r="D4" s="288"/>
      <c r="E4" s="278"/>
      <c r="F4" s="278"/>
      <c r="G4" s="279"/>
      <c r="H4" s="279"/>
      <c r="I4" s="279"/>
      <c r="J4" s="275"/>
      <c r="K4" s="278"/>
      <c r="L4" s="275"/>
      <c r="M4" s="273"/>
      <c r="N4" s="273"/>
      <c r="O4" s="278"/>
      <c r="P4" s="278"/>
      <c r="Q4" s="278"/>
      <c r="R4" s="273"/>
      <c r="S4" s="273"/>
      <c r="T4" s="273"/>
      <c r="U4" s="275"/>
      <c r="V4" s="273"/>
    </row>
    <row r="5" spans="1:22" ht="21" customHeight="1">
      <c r="A5" s="280">
        <v>320100</v>
      </c>
      <c r="B5" s="281">
        <f>525000-1950-36000</f>
        <v>487050</v>
      </c>
      <c r="C5" s="281">
        <v>0</v>
      </c>
      <c r="D5" s="281">
        <v>22000</v>
      </c>
      <c r="E5" s="281">
        <v>0</v>
      </c>
      <c r="F5" s="281">
        <v>0</v>
      </c>
      <c r="G5" s="281">
        <v>0</v>
      </c>
      <c r="H5" s="281">
        <v>0</v>
      </c>
      <c r="I5" s="281">
        <v>10000</v>
      </c>
      <c r="J5" s="281">
        <v>0</v>
      </c>
      <c r="K5" s="281">
        <v>5000</v>
      </c>
      <c r="L5" s="281">
        <v>510000</v>
      </c>
      <c r="M5" s="281">
        <v>0</v>
      </c>
      <c r="N5" s="281">
        <v>0</v>
      </c>
      <c r="O5" s="281">
        <v>0</v>
      </c>
      <c r="P5" s="281">
        <v>0</v>
      </c>
      <c r="Q5" s="281">
        <v>0</v>
      </c>
      <c r="R5" s="281">
        <v>10000</v>
      </c>
      <c r="S5" s="281">
        <v>0</v>
      </c>
      <c r="T5" s="281">
        <v>20000</v>
      </c>
      <c r="U5" s="281">
        <v>0</v>
      </c>
      <c r="V5" s="273">
        <f>SUM(B5:U5)</f>
        <v>1064050</v>
      </c>
    </row>
    <row r="6" spans="1:22" ht="21" customHeight="1">
      <c r="A6" s="280">
        <v>320200</v>
      </c>
      <c r="B6" s="281">
        <v>20000</v>
      </c>
      <c r="C6" s="281">
        <v>0</v>
      </c>
      <c r="D6" s="281">
        <v>0</v>
      </c>
      <c r="E6" s="281">
        <v>0</v>
      </c>
      <c r="F6" s="281">
        <v>0</v>
      </c>
      <c r="G6" s="281">
        <v>0</v>
      </c>
      <c r="H6" s="281">
        <v>0</v>
      </c>
      <c r="I6" s="281">
        <v>0</v>
      </c>
      <c r="J6" s="281">
        <v>0</v>
      </c>
      <c r="K6" s="281">
        <v>0</v>
      </c>
      <c r="L6" s="281">
        <v>0</v>
      </c>
      <c r="M6" s="281">
        <v>0</v>
      </c>
      <c r="N6" s="281">
        <v>0</v>
      </c>
      <c r="O6" s="281">
        <v>0</v>
      </c>
      <c r="P6" s="281">
        <v>0</v>
      </c>
      <c r="Q6" s="281">
        <v>0</v>
      </c>
      <c r="R6" s="281">
        <v>0</v>
      </c>
      <c r="S6" s="281">
        <v>0</v>
      </c>
      <c r="T6" s="281">
        <v>0</v>
      </c>
      <c r="U6" s="281">
        <v>0</v>
      </c>
      <c r="V6" s="273">
        <f>SUM(B6:U6)</f>
        <v>20000</v>
      </c>
    </row>
    <row r="7" spans="1:22" ht="21" customHeight="1">
      <c r="A7" s="280">
        <v>320300</v>
      </c>
      <c r="B7" s="281">
        <f>505000+90000-2700+100000-50000+50000-120620</f>
        <v>571680</v>
      </c>
      <c r="C7" s="281">
        <v>15000</v>
      </c>
      <c r="D7" s="281">
        <f>90000-3350</f>
        <v>86650</v>
      </c>
      <c r="E7" s="281">
        <v>120000</v>
      </c>
      <c r="F7" s="281">
        <v>0</v>
      </c>
      <c r="G7" s="281">
        <v>0</v>
      </c>
      <c r="H7" s="281">
        <f>927000-384000</f>
        <v>543000</v>
      </c>
      <c r="I7" s="281">
        <v>0</v>
      </c>
      <c r="J7" s="281">
        <v>0</v>
      </c>
      <c r="K7" s="281">
        <f>50000-1350-20372</f>
        <v>28278</v>
      </c>
      <c r="L7" s="281">
        <v>0</v>
      </c>
      <c r="M7" s="281">
        <v>5000</v>
      </c>
      <c r="N7" s="281">
        <v>35000</v>
      </c>
      <c r="O7" s="281">
        <f>125000-100000</f>
        <v>25000</v>
      </c>
      <c r="P7" s="281">
        <v>50000</v>
      </c>
      <c r="Q7" s="281">
        <v>0</v>
      </c>
      <c r="R7" s="281">
        <v>10000</v>
      </c>
      <c r="S7" s="281">
        <v>0</v>
      </c>
      <c r="T7" s="281">
        <v>0</v>
      </c>
      <c r="U7" s="281">
        <v>0</v>
      </c>
      <c r="V7" s="273">
        <f>SUM(B7:U7)</f>
        <v>1489608</v>
      </c>
    </row>
    <row r="8" spans="1:22" ht="21" customHeight="1">
      <c r="A8" s="280">
        <v>320400</v>
      </c>
      <c r="B8" s="281">
        <f>100000-8535</f>
        <v>91465</v>
      </c>
      <c r="C8" s="281">
        <v>0</v>
      </c>
      <c r="D8" s="281">
        <v>5000</v>
      </c>
      <c r="E8" s="281">
        <v>0</v>
      </c>
      <c r="F8" s="281">
        <v>0</v>
      </c>
      <c r="G8" s="281">
        <v>0</v>
      </c>
      <c r="H8" s="281">
        <v>0</v>
      </c>
      <c r="I8" s="281">
        <v>0</v>
      </c>
      <c r="J8" s="281">
        <v>0</v>
      </c>
      <c r="K8" s="281">
        <v>10000</v>
      </c>
      <c r="L8" s="281">
        <v>0</v>
      </c>
      <c r="M8" s="281">
        <v>0</v>
      </c>
      <c r="N8" s="281">
        <v>0</v>
      </c>
      <c r="O8" s="281">
        <v>0</v>
      </c>
      <c r="P8" s="281">
        <v>0</v>
      </c>
      <c r="Q8" s="281">
        <v>0</v>
      </c>
      <c r="R8" s="281">
        <v>0</v>
      </c>
      <c r="S8" s="281">
        <v>0</v>
      </c>
      <c r="T8" s="281">
        <v>20000</v>
      </c>
      <c r="U8" s="281">
        <v>0</v>
      </c>
      <c r="V8" s="273">
        <f>SUM(B8:U8)</f>
        <v>126465</v>
      </c>
    </row>
    <row r="9" spans="1:22" ht="21" customHeight="1">
      <c r="A9" s="274" t="s">
        <v>156</v>
      </c>
      <c r="B9" s="275">
        <f t="shared" ref="B9:U9" si="0">SUM(B5:B8)</f>
        <v>1170195</v>
      </c>
      <c r="C9" s="275">
        <f t="shared" si="0"/>
        <v>15000</v>
      </c>
      <c r="D9" s="275">
        <f t="shared" si="0"/>
        <v>113650</v>
      </c>
      <c r="E9" s="275">
        <f t="shared" si="0"/>
        <v>120000</v>
      </c>
      <c r="F9" s="275">
        <f t="shared" si="0"/>
        <v>0</v>
      </c>
      <c r="G9" s="275">
        <f t="shared" si="0"/>
        <v>0</v>
      </c>
      <c r="H9" s="275">
        <f t="shared" si="0"/>
        <v>543000</v>
      </c>
      <c r="I9" s="275">
        <f t="shared" si="0"/>
        <v>10000</v>
      </c>
      <c r="J9" s="275">
        <f t="shared" si="0"/>
        <v>0</v>
      </c>
      <c r="K9" s="275">
        <f t="shared" si="0"/>
        <v>43278</v>
      </c>
      <c r="L9" s="275">
        <f t="shared" si="0"/>
        <v>510000</v>
      </c>
      <c r="M9" s="275">
        <f t="shared" si="0"/>
        <v>5000</v>
      </c>
      <c r="N9" s="275">
        <f t="shared" si="0"/>
        <v>35000</v>
      </c>
      <c r="O9" s="275">
        <f t="shared" si="0"/>
        <v>25000</v>
      </c>
      <c r="P9" s="275">
        <f t="shared" si="0"/>
        <v>50000</v>
      </c>
      <c r="Q9" s="275">
        <f t="shared" si="0"/>
        <v>0</v>
      </c>
      <c r="R9" s="275">
        <f t="shared" si="0"/>
        <v>20000</v>
      </c>
      <c r="S9" s="275">
        <f t="shared" si="0"/>
        <v>0</v>
      </c>
      <c r="T9" s="275">
        <f t="shared" si="0"/>
        <v>40000</v>
      </c>
      <c r="U9" s="275">
        <f t="shared" si="0"/>
        <v>0</v>
      </c>
      <c r="V9" s="273">
        <f>SUM(B9:U9)</f>
        <v>2700123</v>
      </c>
    </row>
    <row r="10" spans="1:22" ht="21" customHeight="1">
      <c r="A10" s="277">
        <v>533000</v>
      </c>
      <c r="B10" s="275"/>
      <c r="C10" s="284"/>
      <c r="D10" s="284"/>
      <c r="E10" s="267"/>
      <c r="F10" s="267"/>
      <c r="G10" s="288"/>
      <c r="H10" s="288"/>
      <c r="I10" s="268"/>
      <c r="J10" s="275"/>
      <c r="K10" s="275"/>
      <c r="L10" s="275"/>
      <c r="M10" s="273"/>
      <c r="N10" s="273"/>
      <c r="O10" s="289"/>
      <c r="P10" s="290"/>
      <c r="Q10" s="283"/>
      <c r="R10" s="273"/>
      <c r="S10" s="273"/>
      <c r="T10" s="273"/>
      <c r="U10" s="283"/>
      <c r="V10" s="273"/>
    </row>
    <row r="11" spans="1:22" ht="21" customHeight="1">
      <c r="A11" s="291">
        <v>330100</v>
      </c>
      <c r="B11" s="281">
        <f>50000-400</f>
        <v>49600</v>
      </c>
      <c r="C11" s="281">
        <v>0</v>
      </c>
      <c r="D11" s="281">
        <v>30000</v>
      </c>
      <c r="E11" s="281">
        <v>0</v>
      </c>
      <c r="F11" s="281">
        <v>0</v>
      </c>
      <c r="G11" s="281">
        <v>0</v>
      </c>
      <c r="H11" s="281">
        <v>0</v>
      </c>
      <c r="I11" s="281">
        <v>0</v>
      </c>
      <c r="J11" s="281">
        <v>0</v>
      </c>
      <c r="K11" s="281">
        <v>20000</v>
      </c>
      <c r="L11" s="281">
        <v>0</v>
      </c>
      <c r="M11" s="281">
        <v>0</v>
      </c>
      <c r="N11" s="281">
        <v>0</v>
      </c>
      <c r="O11" s="281">
        <v>0</v>
      </c>
      <c r="P11" s="281">
        <v>0</v>
      </c>
      <c r="Q11" s="281">
        <v>0</v>
      </c>
      <c r="R11" s="281">
        <v>0</v>
      </c>
      <c r="S11" s="281">
        <v>0</v>
      </c>
      <c r="T11" s="281">
        <v>0</v>
      </c>
      <c r="U11" s="281">
        <v>0</v>
      </c>
      <c r="V11" s="273">
        <f t="shared" ref="V11:V23" si="1">SUM(B11:U11)</f>
        <v>99600</v>
      </c>
    </row>
    <row r="12" spans="1:22" ht="21" customHeight="1">
      <c r="A12" s="291">
        <v>330200</v>
      </c>
      <c r="B12" s="281">
        <v>3000</v>
      </c>
      <c r="C12" s="281">
        <v>0</v>
      </c>
      <c r="D12" s="281">
        <v>0</v>
      </c>
      <c r="E12" s="281">
        <v>0</v>
      </c>
      <c r="F12" s="281">
        <v>0</v>
      </c>
      <c r="G12" s="281">
        <v>0</v>
      </c>
      <c r="H12" s="281">
        <v>0</v>
      </c>
      <c r="I12" s="281">
        <v>0</v>
      </c>
      <c r="J12" s="281">
        <v>0</v>
      </c>
      <c r="K12" s="281">
        <v>30000</v>
      </c>
      <c r="L12" s="281">
        <v>0</v>
      </c>
      <c r="M12" s="281">
        <v>0</v>
      </c>
      <c r="N12" s="281">
        <v>0</v>
      </c>
      <c r="O12" s="281">
        <v>0</v>
      </c>
      <c r="P12" s="281">
        <v>0</v>
      </c>
      <c r="Q12" s="281">
        <v>0</v>
      </c>
      <c r="R12" s="281">
        <v>0</v>
      </c>
      <c r="S12" s="281">
        <v>0</v>
      </c>
      <c r="T12" s="281">
        <v>0</v>
      </c>
      <c r="U12" s="281">
        <v>0</v>
      </c>
      <c r="V12" s="273">
        <f t="shared" si="1"/>
        <v>33000</v>
      </c>
    </row>
    <row r="13" spans="1:22" ht="21" customHeight="1">
      <c r="A13" s="280">
        <v>330300</v>
      </c>
      <c r="B13" s="281">
        <v>10000</v>
      </c>
      <c r="C13" s="281">
        <v>0</v>
      </c>
      <c r="D13" s="281">
        <v>0</v>
      </c>
      <c r="E13" s="281">
        <v>0</v>
      </c>
      <c r="F13" s="281">
        <v>0</v>
      </c>
      <c r="G13" s="281">
        <v>0</v>
      </c>
      <c r="H13" s="281">
        <v>0</v>
      </c>
      <c r="I13" s="281">
        <v>0</v>
      </c>
      <c r="J13" s="281">
        <v>0</v>
      </c>
      <c r="K13" s="281">
        <v>0</v>
      </c>
      <c r="L13" s="281">
        <v>0</v>
      </c>
      <c r="M13" s="281">
        <v>0</v>
      </c>
      <c r="N13" s="281">
        <v>0</v>
      </c>
      <c r="O13" s="281">
        <v>0</v>
      </c>
      <c r="P13" s="281">
        <v>0</v>
      </c>
      <c r="Q13" s="281">
        <v>0</v>
      </c>
      <c r="R13" s="281">
        <v>0</v>
      </c>
      <c r="S13" s="281">
        <v>0</v>
      </c>
      <c r="T13" s="281">
        <v>0</v>
      </c>
      <c r="U13" s="281">
        <v>0</v>
      </c>
      <c r="V13" s="273">
        <f t="shared" si="1"/>
        <v>10000</v>
      </c>
    </row>
    <row r="14" spans="1:22" ht="21" customHeight="1">
      <c r="A14" s="280">
        <v>330400</v>
      </c>
      <c r="B14" s="281">
        <v>0</v>
      </c>
      <c r="C14" s="281">
        <v>0</v>
      </c>
      <c r="D14" s="281">
        <v>0</v>
      </c>
      <c r="E14" s="281">
        <v>0</v>
      </c>
      <c r="F14" s="281">
        <v>0</v>
      </c>
      <c r="G14" s="281">
        <v>0</v>
      </c>
      <c r="H14" s="281">
        <v>894400</v>
      </c>
      <c r="I14" s="281">
        <v>0</v>
      </c>
      <c r="J14" s="281">
        <v>0</v>
      </c>
      <c r="K14" s="281">
        <v>0</v>
      </c>
      <c r="L14" s="281">
        <v>0</v>
      </c>
      <c r="M14" s="281">
        <v>0</v>
      </c>
      <c r="N14" s="281">
        <v>0</v>
      </c>
      <c r="O14" s="281">
        <v>0</v>
      </c>
      <c r="P14" s="281">
        <v>0</v>
      </c>
      <c r="Q14" s="281">
        <v>0</v>
      </c>
      <c r="R14" s="281">
        <v>0</v>
      </c>
      <c r="S14" s="281">
        <v>0</v>
      </c>
      <c r="T14" s="281">
        <v>0</v>
      </c>
      <c r="U14" s="281">
        <v>0</v>
      </c>
      <c r="V14" s="273">
        <f t="shared" si="1"/>
        <v>894400</v>
      </c>
    </row>
    <row r="15" spans="1:22" ht="21" customHeight="1">
      <c r="A15" s="280">
        <v>330600</v>
      </c>
      <c r="B15" s="281">
        <v>0</v>
      </c>
      <c r="C15" s="281">
        <v>0</v>
      </c>
      <c r="D15" s="281">
        <v>0</v>
      </c>
      <c r="E15" s="281">
        <v>0</v>
      </c>
      <c r="F15" s="281">
        <v>0</v>
      </c>
      <c r="G15" s="281">
        <v>0</v>
      </c>
      <c r="H15" s="281">
        <v>0</v>
      </c>
      <c r="I15" s="281">
        <v>0</v>
      </c>
      <c r="J15" s="281">
        <v>0</v>
      </c>
      <c r="K15" s="281">
        <v>5000</v>
      </c>
      <c r="L15" s="281">
        <v>0</v>
      </c>
      <c r="M15" s="281">
        <v>0</v>
      </c>
      <c r="N15" s="281">
        <v>0</v>
      </c>
      <c r="O15" s="281">
        <v>0</v>
      </c>
      <c r="P15" s="281">
        <v>0</v>
      </c>
      <c r="Q15" s="281">
        <v>0</v>
      </c>
      <c r="R15" s="281">
        <v>0</v>
      </c>
      <c r="S15" s="281">
        <v>0</v>
      </c>
      <c r="T15" s="281">
        <v>100000</v>
      </c>
      <c r="U15" s="281">
        <v>0</v>
      </c>
      <c r="V15" s="273">
        <f t="shared" si="1"/>
        <v>105000</v>
      </c>
    </row>
    <row r="16" spans="1:22" ht="21" customHeight="1">
      <c r="A16" s="280">
        <v>330700</v>
      </c>
      <c r="B16" s="281">
        <v>30000</v>
      </c>
      <c r="C16" s="281">
        <f>SUM(C7:C15)</f>
        <v>30000</v>
      </c>
      <c r="D16" s="281">
        <v>0</v>
      </c>
      <c r="E16" s="281">
        <v>0</v>
      </c>
      <c r="F16" s="281">
        <v>0</v>
      </c>
      <c r="G16" s="281">
        <v>0</v>
      </c>
      <c r="H16" s="281">
        <v>0</v>
      </c>
      <c r="I16" s="281">
        <v>0</v>
      </c>
      <c r="J16" s="281">
        <v>0</v>
      </c>
      <c r="K16" s="281">
        <v>0</v>
      </c>
      <c r="L16" s="281">
        <v>0</v>
      </c>
      <c r="M16" s="281">
        <v>0</v>
      </c>
      <c r="N16" s="281">
        <v>0</v>
      </c>
      <c r="O16" s="281">
        <v>0</v>
      </c>
      <c r="P16" s="281">
        <v>0</v>
      </c>
      <c r="Q16" s="281">
        <v>0</v>
      </c>
      <c r="R16" s="281">
        <v>0</v>
      </c>
      <c r="S16" s="281">
        <v>0</v>
      </c>
      <c r="T16" s="281">
        <v>0</v>
      </c>
      <c r="U16" s="281">
        <v>0</v>
      </c>
      <c r="V16" s="273">
        <f t="shared" si="1"/>
        <v>60000</v>
      </c>
    </row>
    <row r="17" spans="1:22" ht="21" customHeight="1">
      <c r="A17" s="280">
        <v>330800</v>
      </c>
      <c r="B17" s="281">
        <f>280000-12205</f>
        <v>267795</v>
      </c>
      <c r="C17" s="281">
        <v>0</v>
      </c>
      <c r="D17" s="281">
        <v>0</v>
      </c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281">
        <v>0</v>
      </c>
      <c r="K17" s="281">
        <v>0</v>
      </c>
      <c r="L17" s="281">
        <v>0</v>
      </c>
      <c r="M17" s="281">
        <v>0</v>
      </c>
      <c r="N17" s="281">
        <v>0</v>
      </c>
      <c r="O17" s="281">
        <v>0</v>
      </c>
      <c r="P17" s="281">
        <v>0</v>
      </c>
      <c r="Q17" s="281">
        <v>0</v>
      </c>
      <c r="R17" s="281">
        <v>0</v>
      </c>
      <c r="S17" s="281">
        <v>0</v>
      </c>
      <c r="T17" s="281">
        <v>0</v>
      </c>
      <c r="U17" s="281">
        <v>0</v>
      </c>
      <c r="V17" s="273">
        <f t="shared" si="1"/>
        <v>267795</v>
      </c>
    </row>
    <row r="18" spans="1:22" ht="21" customHeight="1">
      <c r="A18" s="280">
        <v>330900</v>
      </c>
      <c r="B18" s="281">
        <v>0</v>
      </c>
      <c r="C18" s="281">
        <v>0</v>
      </c>
      <c r="D18" s="281">
        <v>0</v>
      </c>
      <c r="E18" s="281">
        <v>0</v>
      </c>
      <c r="F18" s="281">
        <v>0</v>
      </c>
      <c r="G18" s="281">
        <v>0</v>
      </c>
      <c r="H18" s="281">
        <v>0</v>
      </c>
      <c r="I18" s="281">
        <v>10000</v>
      </c>
      <c r="J18" s="281">
        <v>0</v>
      </c>
      <c r="K18" s="281">
        <v>0</v>
      </c>
      <c r="L18" s="281">
        <v>0</v>
      </c>
      <c r="M18" s="281">
        <v>0</v>
      </c>
      <c r="N18" s="281">
        <v>0</v>
      </c>
      <c r="O18" s="281">
        <v>0</v>
      </c>
      <c r="P18" s="281">
        <v>0</v>
      </c>
      <c r="Q18" s="281">
        <v>0</v>
      </c>
      <c r="R18" s="281">
        <v>0</v>
      </c>
      <c r="S18" s="281">
        <v>0</v>
      </c>
      <c r="T18" s="281">
        <v>90000</v>
      </c>
      <c r="U18" s="281">
        <v>0</v>
      </c>
      <c r="V18" s="273">
        <f t="shared" si="1"/>
        <v>100000</v>
      </c>
    </row>
    <row r="19" spans="1:22" ht="21" customHeight="1">
      <c r="A19" s="280">
        <v>331000</v>
      </c>
      <c r="B19" s="281">
        <v>0</v>
      </c>
      <c r="C19" s="281">
        <v>0</v>
      </c>
      <c r="D19" s="281">
        <v>0</v>
      </c>
      <c r="E19" s="281">
        <v>0</v>
      </c>
      <c r="F19" s="281">
        <v>0</v>
      </c>
      <c r="G19" s="281">
        <v>0</v>
      </c>
      <c r="H19" s="281">
        <v>0</v>
      </c>
      <c r="I19" s="281">
        <v>0</v>
      </c>
      <c r="J19" s="281">
        <v>0</v>
      </c>
      <c r="K19" s="281">
        <v>0</v>
      </c>
      <c r="L19" s="281">
        <v>0</v>
      </c>
      <c r="M19" s="281">
        <v>0</v>
      </c>
      <c r="N19" s="281">
        <v>0</v>
      </c>
      <c r="O19" s="281">
        <v>0</v>
      </c>
      <c r="P19" s="281">
        <v>0</v>
      </c>
      <c r="Q19" s="281">
        <v>0</v>
      </c>
      <c r="R19" s="281">
        <f>20000-3420</f>
        <v>16580</v>
      </c>
      <c r="S19" s="281">
        <v>0</v>
      </c>
      <c r="T19" s="281">
        <v>0</v>
      </c>
      <c r="U19" s="281">
        <v>0</v>
      </c>
      <c r="V19" s="273">
        <f t="shared" si="1"/>
        <v>16580</v>
      </c>
    </row>
    <row r="20" spans="1:22" ht="21" customHeight="1">
      <c r="A20" s="280">
        <v>331100</v>
      </c>
      <c r="B20" s="281">
        <v>5000</v>
      </c>
      <c r="C20" s="281">
        <v>0</v>
      </c>
      <c r="D20" s="281">
        <v>8000</v>
      </c>
      <c r="E20" s="281">
        <v>0</v>
      </c>
      <c r="F20" s="281">
        <v>0</v>
      </c>
      <c r="G20" s="281">
        <v>0</v>
      </c>
      <c r="H20" s="281">
        <v>0</v>
      </c>
      <c r="I20" s="281">
        <v>0</v>
      </c>
      <c r="J20" s="281">
        <v>0</v>
      </c>
      <c r="K20" s="281">
        <v>5000</v>
      </c>
      <c r="L20" s="281">
        <v>0</v>
      </c>
      <c r="M20" s="281">
        <v>0</v>
      </c>
      <c r="N20" s="281">
        <v>0</v>
      </c>
      <c r="O20" s="281">
        <v>0</v>
      </c>
      <c r="P20" s="281">
        <v>0</v>
      </c>
      <c r="Q20" s="281">
        <v>0</v>
      </c>
      <c r="R20" s="281">
        <v>0</v>
      </c>
      <c r="S20" s="281">
        <f ca="1">'คงเหลือรายรับ (1)'!S16+'คงเหลือรายรับ (1)'!S23+'คงเหลือรายรับ (1)'!S31+'คงเหลือรายรับ (1)'!S37+'คงเหลือรายรับ (2)'!S9+'คงเหลือรายรับ (2)'!S23+'คงเหลือรายรับ (2)'!S29+'คงเหลือรายรับ (3)'!S8+'คงเหลือรายรับ (3)'!S12+'คงเหลือรายรับ (3)'!S15+'คงเหลือรายรับ (3)'!S19</f>
        <v>0</v>
      </c>
      <c r="T20" s="281">
        <v>0</v>
      </c>
      <c r="U20" s="281">
        <v>0</v>
      </c>
      <c r="V20" s="273">
        <f t="shared" ca="1" si="1"/>
        <v>18000</v>
      </c>
    </row>
    <row r="21" spans="1:22" ht="21" customHeight="1">
      <c r="A21" s="280">
        <v>331400</v>
      </c>
      <c r="B21" s="281">
        <v>60000</v>
      </c>
      <c r="C21" s="281">
        <v>0</v>
      </c>
      <c r="D21" s="281">
        <v>20000</v>
      </c>
      <c r="E21" s="281">
        <v>0</v>
      </c>
      <c r="F21" s="281">
        <v>0</v>
      </c>
      <c r="G21" s="281">
        <v>0</v>
      </c>
      <c r="H21" s="281">
        <v>0</v>
      </c>
      <c r="I21" s="281">
        <v>0</v>
      </c>
      <c r="J21" s="281">
        <v>0</v>
      </c>
      <c r="K21" s="281">
        <v>25000</v>
      </c>
      <c r="L21" s="281">
        <v>0</v>
      </c>
      <c r="M21" s="281">
        <v>0</v>
      </c>
      <c r="N21" s="281">
        <v>0</v>
      </c>
      <c r="O21" s="281">
        <v>0</v>
      </c>
      <c r="P21" s="281">
        <v>0</v>
      </c>
      <c r="Q21" s="281">
        <v>0</v>
      </c>
      <c r="R21" s="281">
        <v>0</v>
      </c>
      <c r="S21" s="281">
        <v>0</v>
      </c>
      <c r="T21" s="281">
        <v>0</v>
      </c>
      <c r="U21" s="281">
        <v>0</v>
      </c>
      <c r="V21" s="273">
        <f t="shared" ref="V21" si="2">SUM(B21:U21)</f>
        <v>105000</v>
      </c>
    </row>
    <row r="22" spans="1:22" ht="21" customHeight="1">
      <c r="A22" s="280">
        <v>331700</v>
      </c>
      <c r="B22" s="281">
        <v>0</v>
      </c>
      <c r="C22" s="281">
        <v>0</v>
      </c>
      <c r="D22" s="281">
        <v>0</v>
      </c>
      <c r="E22" s="281">
        <v>0</v>
      </c>
      <c r="F22" s="281">
        <v>0</v>
      </c>
      <c r="G22" s="281">
        <v>0</v>
      </c>
      <c r="H22" s="281">
        <v>0</v>
      </c>
      <c r="I22" s="281">
        <v>0</v>
      </c>
      <c r="J22" s="281">
        <v>0</v>
      </c>
      <c r="K22" s="281">
        <v>0</v>
      </c>
      <c r="L22" s="281">
        <v>0</v>
      </c>
      <c r="M22" s="281">
        <v>0</v>
      </c>
      <c r="N22" s="281">
        <v>0</v>
      </c>
      <c r="O22" s="281">
        <v>0</v>
      </c>
      <c r="P22" s="281">
        <v>0</v>
      </c>
      <c r="Q22" s="281">
        <v>0</v>
      </c>
      <c r="R22" s="281">
        <v>0</v>
      </c>
      <c r="S22" s="281">
        <v>0</v>
      </c>
      <c r="T22" s="281">
        <f>25000-17000</f>
        <v>8000</v>
      </c>
      <c r="U22" s="281">
        <v>0</v>
      </c>
      <c r="V22" s="273">
        <f t="shared" si="1"/>
        <v>8000</v>
      </c>
    </row>
    <row r="23" spans="1:22" ht="21" customHeight="1">
      <c r="A23" s="274" t="s">
        <v>156</v>
      </c>
      <c r="B23" s="275">
        <f t="shared" ref="B23:U23" si="3">SUM(B11:B22)</f>
        <v>425395</v>
      </c>
      <c r="C23" s="275">
        <f t="shared" si="3"/>
        <v>30000</v>
      </c>
      <c r="D23" s="275">
        <f t="shared" si="3"/>
        <v>58000</v>
      </c>
      <c r="E23" s="275">
        <f t="shared" si="3"/>
        <v>0</v>
      </c>
      <c r="F23" s="275">
        <f t="shared" si="3"/>
        <v>0</v>
      </c>
      <c r="G23" s="275">
        <f t="shared" si="3"/>
        <v>0</v>
      </c>
      <c r="H23" s="275">
        <f t="shared" si="3"/>
        <v>894400</v>
      </c>
      <c r="I23" s="275">
        <f t="shared" si="3"/>
        <v>10000</v>
      </c>
      <c r="J23" s="275">
        <f t="shared" si="3"/>
        <v>0</v>
      </c>
      <c r="K23" s="275">
        <f t="shared" si="3"/>
        <v>85000</v>
      </c>
      <c r="L23" s="275">
        <f t="shared" si="3"/>
        <v>0</v>
      </c>
      <c r="M23" s="275">
        <f t="shared" si="3"/>
        <v>0</v>
      </c>
      <c r="N23" s="275">
        <f t="shared" si="3"/>
        <v>0</v>
      </c>
      <c r="O23" s="275">
        <f t="shared" si="3"/>
        <v>0</v>
      </c>
      <c r="P23" s="275">
        <f t="shared" si="3"/>
        <v>0</v>
      </c>
      <c r="Q23" s="275">
        <f t="shared" si="3"/>
        <v>0</v>
      </c>
      <c r="R23" s="275">
        <f t="shared" si="3"/>
        <v>16580</v>
      </c>
      <c r="S23" s="275">
        <f t="shared" ca="1" si="3"/>
        <v>0</v>
      </c>
      <c r="T23" s="275">
        <f t="shared" si="3"/>
        <v>198000</v>
      </c>
      <c r="U23" s="275">
        <f t="shared" si="3"/>
        <v>0</v>
      </c>
      <c r="V23" s="273">
        <f t="shared" ca="1" si="1"/>
        <v>1687375</v>
      </c>
    </row>
    <row r="24" spans="1:22" ht="21" customHeight="1">
      <c r="A24" s="277">
        <v>534000</v>
      </c>
      <c r="B24" s="275"/>
      <c r="C24" s="288"/>
      <c r="D24" s="279"/>
      <c r="E24" s="278"/>
      <c r="F24" s="278"/>
      <c r="G24" s="279"/>
      <c r="H24" s="279"/>
      <c r="I24" s="278"/>
      <c r="J24" s="275"/>
      <c r="K24" s="278"/>
      <c r="L24" s="278"/>
      <c r="M24" s="273"/>
      <c r="N24" s="273"/>
      <c r="O24" s="278"/>
      <c r="P24" s="278"/>
      <c r="Q24" s="278"/>
      <c r="R24" s="273"/>
      <c r="S24" s="273"/>
      <c r="T24" s="273"/>
      <c r="U24" s="278"/>
      <c r="V24" s="273"/>
    </row>
    <row r="25" spans="1:22" ht="21" customHeight="1">
      <c r="A25" s="280">
        <v>340100</v>
      </c>
      <c r="B25" s="281">
        <f>250000-15353.48-14585.34</f>
        <v>220061.18</v>
      </c>
      <c r="C25" s="281">
        <v>0</v>
      </c>
      <c r="D25" s="281">
        <v>0</v>
      </c>
      <c r="E25" s="281">
        <v>0</v>
      </c>
      <c r="F25" s="281">
        <v>0</v>
      </c>
      <c r="G25" s="281">
        <v>0</v>
      </c>
      <c r="H25" s="281">
        <v>0</v>
      </c>
      <c r="I25" s="281">
        <v>0</v>
      </c>
      <c r="J25" s="281">
        <v>0</v>
      </c>
      <c r="K25" s="281">
        <v>0</v>
      </c>
      <c r="L25" s="281">
        <v>0</v>
      </c>
      <c r="M25" s="281">
        <v>0</v>
      </c>
      <c r="N25" s="281">
        <v>0</v>
      </c>
      <c r="O25" s="281">
        <v>0</v>
      </c>
      <c r="P25" s="281">
        <v>0</v>
      </c>
      <c r="Q25" s="281">
        <v>0</v>
      </c>
      <c r="R25" s="281">
        <v>0</v>
      </c>
      <c r="S25" s="281">
        <v>0</v>
      </c>
      <c r="T25" s="281">
        <f>430000-34481.37-36558.08</f>
        <v>358960.55</v>
      </c>
      <c r="U25" s="281">
        <v>0</v>
      </c>
      <c r="V25" s="273">
        <f>SUM(B25:U25)</f>
        <v>579021.73</v>
      </c>
    </row>
    <row r="26" spans="1:22" ht="21" customHeight="1">
      <c r="A26" s="280">
        <v>340300</v>
      </c>
      <c r="B26" s="281">
        <f>4000-321-321</f>
        <v>3358</v>
      </c>
      <c r="C26" s="281">
        <v>0</v>
      </c>
      <c r="D26" s="281">
        <v>0</v>
      </c>
      <c r="E26" s="281">
        <v>0</v>
      </c>
      <c r="F26" s="281">
        <v>0</v>
      </c>
      <c r="G26" s="281">
        <v>0</v>
      </c>
      <c r="H26" s="281">
        <v>0</v>
      </c>
      <c r="I26" s="281">
        <v>0</v>
      </c>
      <c r="J26" s="281">
        <v>0</v>
      </c>
      <c r="K26" s="281">
        <v>0</v>
      </c>
      <c r="L26" s="281">
        <v>0</v>
      </c>
      <c r="M26" s="281">
        <v>0</v>
      </c>
      <c r="N26" s="281">
        <v>0</v>
      </c>
      <c r="O26" s="281">
        <v>0</v>
      </c>
      <c r="P26" s="281">
        <v>0</v>
      </c>
      <c r="Q26" s="281">
        <v>0</v>
      </c>
      <c r="R26" s="281">
        <v>0</v>
      </c>
      <c r="S26" s="281">
        <v>0</v>
      </c>
      <c r="T26" s="281">
        <v>0</v>
      </c>
      <c r="U26" s="281">
        <v>0</v>
      </c>
      <c r="V26" s="273">
        <f>SUM(B26:U26)</f>
        <v>3358</v>
      </c>
    </row>
    <row r="27" spans="1:22" ht="21" customHeight="1">
      <c r="A27" s="280">
        <v>340400</v>
      </c>
      <c r="B27" s="281">
        <v>20000</v>
      </c>
      <c r="C27" s="281">
        <v>0</v>
      </c>
      <c r="D27" s="281">
        <v>0</v>
      </c>
      <c r="E27" s="281">
        <v>0</v>
      </c>
      <c r="F27" s="281">
        <v>0</v>
      </c>
      <c r="G27" s="281">
        <v>0</v>
      </c>
      <c r="H27" s="281">
        <v>0</v>
      </c>
      <c r="I27" s="281">
        <v>0</v>
      </c>
      <c r="J27" s="281">
        <v>0</v>
      </c>
      <c r="K27" s="281">
        <v>0</v>
      </c>
      <c r="L27" s="281">
        <v>0</v>
      </c>
      <c r="M27" s="281">
        <v>0</v>
      </c>
      <c r="N27" s="281">
        <v>0</v>
      </c>
      <c r="O27" s="281">
        <v>0</v>
      </c>
      <c r="P27" s="281">
        <v>0</v>
      </c>
      <c r="Q27" s="281">
        <v>0</v>
      </c>
      <c r="R27" s="281">
        <v>0</v>
      </c>
      <c r="S27" s="281">
        <v>0</v>
      </c>
      <c r="T27" s="281">
        <v>0</v>
      </c>
      <c r="U27" s="281">
        <v>0</v>
      </c>
      <c r="V27" s="273">
        <f>SUM(B27:U27)</f>
        <v>20000</v>
      </c>
    </row>
    <row r="28" spans="1:22" ht="21" customHeight="1">
      <c r="A28" s="280">
        <v>340500</v>
      </c>
      <c r="B28" s="281">
        <f>105000-6880.1-6880.1</f>
        <v>91239.799999999988</v>
      </c>
      <c r="C28" s="281">
        <v>0</v>
      </c>
      <c r="D28" s="281">
        <v>0</v>
      </c>
      <c r="E28" s="281">
        <v>0</v>
      </c>
      <c r="F28" s="281">
        <v>0</v>
      </c>
      <c r="G28" s="281">
        <v>0</v>
      </c>
      <c r="H28" s="281">
        <v>0</v>
      </c>
      <c r="I28" s="281">
        <v>0</v>
      </c>
      <c r="J28" s="281">
        <v>0</v>
      </c>
      <c r="K28" s="281">
        <v>0</v>
      </c>
      <c r="L28" s="281">
        <v>0</v>
      </c>
      <c r="M28" s="281">
        <v>0</v>
      </c>
      <c r="N28" s="281">
        <v>0</v>
      </c>
      <c r="O28" s="281">
        <v>0</v>
      </c>
      <c r="P28" s="281">
        <v>0</v>
      </c>
      <c r="Q28" s="281">
        <v>0</v>
      </c>
      <c r="R28" s="281">
        <v>0</v>
      </c>
      <c r="S28" s="281">
        <v>0</v>
      </c>
      <c r="T28" s="281">
        <v>0</v>
      </c>
      <c r="U28" s="281">
        <v>0</v>
      </c>
      <c r="V28" s="273">
        <f>SUM(B28:U28)</f>
        <v>91239.799999999988</v>
      </c>
    </row>
    <row r="29" spans="1:22" ht="21" customHeight="1">
      <c r="A29" s="274" t="s">
        <v>156</v>
      </c>
      <c r="B29" s="278">
        <f t="shared" ref="B29:U29" si="4">SUM(B25:B28)</f>
        <v>334658.98</v>
      </c>
      <c r="C29" s="278">
        <f t="shared" si="4"/>
        <v>0</v>
      </c>
      <c r="D29" s="278">
        <f t="shared" si="4"/>
        <v>0</v>
      </c>
      <c r="E29" s="278">
        <f t="shared" si="4"/>
        <v>0</v>
      </c>
      <c r="F29" s="278">
        <f t="shared" si="4"/>
        <v>0</v>
      </c>
      <c r="G29" s="278">
        <f t="shared" si="4"/>
        <v>0</v>
      </c>
      <c r="H29" s="278">
        <f t="shared" si="4"/>
        <v>0</v>
      </c>
      <c r="I29" s="278">
        <f t="shared" si="4"/>
        <v>0</v>
      </c>
      <c r="J29" s="278">
        <f t="shared" si="4"/>
        <v>0</v>
      </c>
      <c r="K29" s="278">
        <f t="shared" si="4"/>
        <v>0</v>
      </c>
      <c r="L29" s="278">
        <f t="shared" si="4"/>
        <v>0</v>
      </c>
      <c r="M29" s="278">
        <f t="shared" si="4"/>
        <v>0</v>
      </c>
      <c r="N29" s="278">
        <f t="shared" si="4"/>
        <v>0</v>
      </c>
      <c r="O29" s="278">
        <f t="shared" si="4"/>
        <v>0</v>
      </c>
      <c r="P29" s="278">
        <f t="shared" si="4"/>
        <v>0</v>
      </c>
      <c r="Q29" s="278">
        <f t="shared" si="4"/>
        <v>0</v>
      </c>
      <c r="R29" s="278">
        <f t="shared" si="4"/>
        <v>0</v>
      </c>
      <c r="S29" s="278">
        <f t="shared" si="4"/>
        <v>0</v>
      </c>
      <c r="T29" s="278">
        <f t="shared" si="4"/>
        <v>358960.55</v>
      </c>
      <c r="U29" s="278">
        <f t="shared" si="4"/>
        <v>0</v>
      </c>
      <c r="V29" s="273">
        <f>SUM(B29:U29)</f>
        <v>693619.53</v>
      </c>
    </row>
  </sheetData>
  <mergeCells count="8">
    <mergeCell ref="A1:V1"/>
    <mergeCell ref="B2:D2"/>
    <mergeCell ref="E2:F2"/>
    <mergeCell ref="G2:H2"/>
    <mergeCell ref="K2:L2"/>
    <mergeCell ref="M2:N2"/>
    <mergeCell ref="O2:Q2"/>
    <mergeCell ref="R2:S2"/>
  </mergeCells>
  <printOptions horizontalCentered="1"/>
  <pageMargins left="0" right="0" top="0.55118110236220474" bottom="0" header="0" footer="0"/>
  <pageSetup paperSize="9" scale="63" orientation="landscape" horizontalDpi="180" verticalDpi="18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view="pageBreakPreview" topLeftCell="N7" zoomScaleSheetLayoutView="100" workbookViewId="0">
      <selection activeCell="E14" sqref="E14"/>
    </sheetView>
  </sheetViews>
  <sheetFormatPr defaultRowHeight="21.75"/>
  <cols>
    <col min="1" max="1" width="13" style="250" bestFit="1" customWidth="1"/>
    <col min="2" max="2" width="11.25" style="250" bestFit="1" customWidth="1"/>
    <col min="3" max="3" width="9" style="250" bestFit="1" customWidth="1"/>
    <col min="4" max="4" width="11.25" style="250" bestFit="1" customWidth="1"/>
    <col min="5" max="5" width="9.875" style="250" bestFit="1" customWidth="1"/>
    <col min="6" max="6" width="9" style="250" bestFit="1" customWidth="1"/>
    <col min="7" max="8" width="11.25" style="250" bestFit="1" customWidth="1"/>
    <col min="9" max="9" width="9" style="250" bestFit="1" customWidth="1"/>
    <col min="10" max="10" width="5.25" style="250" bestFit="1" customWidth="1"/>
    <col min="11" max="12" width="11.25" style="250" bestFit="1" customWidth="1"/>
    <col min="13" max="13" width="8.125" style="250" bestFit="1" customWidth="1"/>
    <col min="14" max="14" width="9" style="250" bestFit="1" customWidth="1"/>
    <col min="15" max="15" width="9.875" style="250" bestFit="1" customWidth="1"/>
    <col min="16" max="18" width="9" style="250" bestFit="1" customWidth="1"/>
    <col min="19" max="19" width="5.25" style="250" bestFit="1" customWidth="1"/>
    <col min="20" max="20" width="11.25" style="250" bestFit="1" customWidth="1"/>
    <col min="21" max="22" width="12.125" style="250" bestFit="1" customWidth="1"/>
    <col min="23" max="260" width="9" style="250"/>
    <col min="261" max="261" width="18.75" style="250" customWidth="1"/>
    <col min="262" max="264" width="9.75" style="250" customWidth="1"/>
    <col min="265" max="265" width="8.625" style="250" customWidth="1"/>
    <col min="266" max="266" width="9.75" style="250" customWidth="1"/>
    <col min="267" max="267" width="8.625" style="250" customWidth="1"/>
    <col min="268" max="268" width="7.875" style="250" customWidth="1"/>
    <col min="269" max="270" width="9.75" style="250" customWidth="1"/>
    <col min="271" max="271" width="7.875" style="250" customWidth="1"/>
    <col min="272" max="272" width="8.625" style="250" customWidth="1"/>
    <col min="273" max="273" width="8.625" style="250" bestFit="1" customWidth="1"/>
    <col min="274" max="274" width="8.75" style="250" bestFit="1" customWidth="1"/>
    <col min="275" max="276" width="8.625" style="250" bestFit="1" customWidth="1"/>
    <col min="277" max="277" width="9.75" style="250" bestFit="1" customWidth="1"/>
    <col min="278" max="278" width="10.5" style="250" bestFit="1" customWidth="1"/>
    <col min="279" max="516" width="9" style="250"/>
    <col min="517" max="517" width="18.75" style="250" customWidth="1"/>
    <col min="518" max="520" width="9.75" style="250" customWidth="1"/>
    <col min="521" max="521" width="8.625" style="250" customWidth="1"/>
    <col min="522" max="522" width="9.75" style="250" customWidth="1"/>
    <col min="523" max="523" width="8.625" style="250" customWidth="1"/>
    <col min="524" max="524" width="7.875" style="250" customWidth="1"/>
    <col min="525" max="526" width="9.75" style="250" customWidth="1"/>
    <col min="527" max="527" width="7.875" style="250" customWidth="1"/>
    <col min="528" max="528" width="8.625" style="250" customWidth="1"/>
    <col min="529" max="529" width="8.625" style="250" bestFit="1" customWidth="1"/>
    <col min="530" max="530" width="8.75" style="250" bestFit="1" customWidth="1"/>
    <col min="531" max="532" width="8.625" style="250" bestFit="1" customWidth="1"/>
    <col min="533" max="533" width="9.75" style="250" bestFit="1" customWidth="1"/>
    <col min="534" max="534" width="10.5" style="250" bestFit="1" customWidth="1"/>
    <col min="535" max="772" width="9" style="250"/>
    <col min="773" max="773" width="18.75" style="250" customWidth="1"/>
    <col min="774" max="776" width="9.75" style="250" customWidth="1"/>
    <col min="777" max="777" width="8.625" style="250" customWidth="1"/>
    <col min="778" max="778" width="9.75" style="250" customWidth="1"/>
    <col min="779" max="779" width="8.625" style="250" customWidth="1"/>
    <col min="780" max="780" width="7.875" style="250" customWidth="1"/>
    <col min="781" max="782" width="9.75" style="250" customWidth="1"/>
    <col min="783" max="783" width="7.875" style="250" customWidth="1"/>
    <col min="784" max="784" width="8.625" style="250" customWidth="1"/>
    <col min="785" max="785" width="8.625" style="250" bestFit="1" customWidth="1"/>
    <col min="786" max="786" width="8.75" style="250" bestFit="1" customWidth="1"/>
    <col min="787" max="788" width="8.625" style="250" bestFit="1" customWidth="1"/>
    <col min="789" max="789" width="9.75" style="250" bestFit="1" customWidth="1"/>
    <col min="790" max="790" width="10.5" style="250" bestFit="1" customWidth="1"/>
    <col min="791" max="1028" width="9" style="250"/>
    <col min="1029" max="1029" width="18.75" style="250" customWidth="1"/>
    <col min="1030" max="1032" width="9.75" style="250" customWidth="1"/>
    <col min="1033" max="1033" width="8.625" style="250" customWidth="1"/>
    <col min="1034" max="1034" width="9.75" style="250" customWidth="1"/>
    <col min="1035" max="1035" width="8.625" style="250" customWidth="1"/>
    <col min="1036" max="1036" width="7.875" style="250" customWidth="1"/>
    <col min="1037" max="1038" width="9.75" style="250" customWidth="1"/>
    <col min="1039" max="1039" width="7.875" style="250" customWidth="1"/>
    <col min="1040" max="1040" width="8.625" style="250" customWidth="1"/>
    <col min="1041" max="1041" width="8.625" style="250" bestFit="1" customWidth="1"/>
    <col min="1042" max="1042" width="8.75" style="250" bestFit="1" customWidth="1"/>
    <col min="1043" max="1044" width="8.625" style="250" bestFit="1" customWidth="1"/>
    <col min="1045" max="1045" width="9.75" style="250" bestFit="1" customWidth="1"/>
    <col min="1046" max="1046" width="10.5" style="250" bestFit="1" customWidth="1"/>
    <col min="1047" max="1284" width="9" style="250"/>
    <col min="1285" max="1285" width="18.75" style="250" customWidth="1"/>
    <col min="1286" max="1288" width="9.75" style="250" customWidth="1"/>
    <col min="1289" max="1289" width="8.625" style="250" customWidth="1"/>
    <col min="1290" max="1290" width="9.75" style="250" customWidth="1"/>
    <col min="1291" max="1291" width="8.625" style="250" customWidth="1"/>
    <col min="1292" max="1292" width="7.875" style="250" customWidth="1"/>
    <col min="1293" max="1294" width="9.75" style="250" customWidth="1"/>
    <col min="1295" max="1295" width="7.875" style="250" customWidth="1"/>
    <col min="1296" max="1296" width="8.625" style="250" customWidth="1"/>
    <col min="1297" max="1297" width="8.625" style="250" bestFit="1" customWidth="1"/>
    <col min="1298" max="1298" width="8.75" style="250" bestFit="1" customWidth="1"/>
    <col min="1299" max="1300" width="8.625" style="250" bestFit="1" customWidth="1"/>
    <col min="1301" max="1301" width="9.75" style="250" bestFit="1" customWidth="1"/>
    <col min="1302" max="1302" width="10.5" style="250" bestFit="1" customWidth="1"/>
    <col min="1303" max="1540" width="9" style="250"/>
    <col min="1541" max="1541" width="18.75" style="250" customWidth="1"/>
    <col min="1542" max="1544" width="9.75" style="250" customWidth="1"/>
    <col min="1545" max="1545" width="8.625" style="250" customWidth="1"/>
    <col min="1546" max="1546" width="9.75" style="250" customWidth="1"/>
    <col min="1547" max="1547" width="8.625" style="250" customWidth="1"/>
    <col min="1548" max="1548" width="7.875" style="250" customWidth="1"/>
    <col min="1549" max="1550" width="9.75" style="250" customWidth="1"/>
    <col min="1551" max="1551" width="7.875" style="250" customWidth="1"/>
    <col min="1552" max="1552" width="8.625" style="250" customWidth="1"/>
    <col min="1553" max="1553" width="8.625" style="250" bestFit="1" customWidth="1"/>
    <col min="1554" max="1554" width="8.75" style="250" bestFit="1" customWidth="1"/>
    <col min="1555" max="1556" width="8.625" style="250" bestFit="1" customWidth="1"/>
    <col min="1557" max="1557" width="9.75" style="250" bestFit="1" customWidth="1"/>
    <col min="1558" max="1558" width="10.5" style="250" bestFit="1" customWidth="1"/>
    <col min="1559" max="1796" width="9" style="250"/>
    <col min="1797" max="1797" width="18.75" style="250" customWidth="1"/>
    <col min="1798" max="1800" width="9.75" style="250" customWidth="1"/>
    <col min="1801" max="1801" width="8.625" style="250" customWidth="1"/>
    <col min="1802" max="1802" width="9.75" style="250" customWidth="1"/>
    <col min="1803" max="1803" width="8.625" style="250" customWidth="1"/>
    <col min="1804" max="1804" width="7.875" style="250" customWidth="1"/>
    <col min="1805" max="1806" width="9.75" style="250" customWidth="1"/>
    <col min="1807" max="1807" width="7.875" style="250" customWidth="1"/>
    <col min="1808" max="1808" width="8.625" style="250" customWidth="1"/>
    <col min="1809" max="1809" width="8.625" style="250" bestFit="1" customWidth="1"/>
    <col min="1810" max="1810" width="8.75" style="250" bestFit="1" customWidth="1"/>
    <col min="1811" max="1812" width="8.625" style="250" bestFit="1" customWidth="1"/>
    <col min="1813" max="1813" width="9.75" style="250" bestFit="1" customWidth="1"/>
    <col min="1814" max="1814" width="10.5" style="250" bestFit="1" customWidth="1"/>
    <col min="1815" max="2052" width="9" style="250"/>
    <col min="2053" max="2053" width="18.75" style="250" customWidth="1"/>
    <col min="2054" max="2056" width="9.75" style="250" customWidth="1"/>
    <col min="2057" max="2057" width="8.625" style="250" customWidth="1"/>
    <col min="2058" max="2058" width="9.75" style="250" customWidth="1"/>
    <col min="2059" max="2059" width="8.625" style="250" customWidth="1"/>
    <col min="2060" max="2060" width="7.875" style="250" customWidth="1"/>
    <col min="2061" max="2062" width="9.75" style="250" customWidth="1"/>
    <col min="2063" max="2063" width="7.875" style="250" customWidth="1"/>
    <col min="2064" max="2064" width="8.625" style="250" customWidth="1"/>
    <col min="2065" max="2065" width="8.625" style="250" bestFit="1" customWidth="1"/>
    <col min="2066" max="2066" width="8.75" style="250" bestFit="1" customWidth="1"/>
    <col min="2067" max="2068" width="8.625" style="250" bestFit="1" customWidth="1"/>
    <col min="2069" max="2069" width="9.75" style="250" bestFit="1" customWidth="1"/>
    <col min="2070" max="2070" width="10.5" style="250" bestFit="1" customWidth="1"/>
    <col min="2071" max="2308" width="9" style="250"/>
    <col min="2309" max="2309" width="18.75" style="250" customWidth="1"/>
    <col min="2310" max="2312" width="9.75" style="250" customWidth="1"/>
    <col min="2313" max="2313" width="8.625" style="250" customWidth="1"/>
    <col min="2314" max="2314" width="9.75" style="250" customWidth="1"/>
    <col min="2315" max="2315" width="8.625" style="250" customWidth="1"/>
    <col min="2316" max="2316" width="7.875" style="250" customWidth="1"/>
    <col min="2317" max="2318" width="9.75" style="250" customWidth="1"/>
    <col min="2319" max="2319" width="7.875" style="250" customWidth="1"/>
    <col min="2320" max="2320" width="8.625" style="250" customWidth="1"/>
    <col min="2321" max="2321" width="8.625" style="250" bestFit="1" customWidth="1"/>
    <col min="2322" max="2322" width="8.75" style="250" bestFit="1" customWidth="1"/>
    <col min="2323" max="2324" width="8.625" style="250" bestFit="1" customWidth="1"/>
    <col min="2325" max="2325" width="9.75" style="250" bestFit="1" customWidth="1"/>
    <col min="2326" max="2326" width="10.5" style="250" bestFit="1" customWidth="1"/>
    <col min="2327" max="2564" width="9" style="250"/>
    <col min="2565" max="2565" width="18.75" style="250" customWidth="1"/>
    <col min="2566" max="2568" width="9.75" style="250" customWidth="1"/>
    <col min="2569" max="2569" width="8.625" style="250" customWidth="1"/>
    <col min="2570" max="2570" width="9.75" style="250" customWidth="1"/>
    <col min="2571" max="2571" width="8.625" style="250" customWidth="1"/>
    <col min="2572" max="2572" width="7.875" style="250" customWidth="1"/>
    <col min="2573" max="2574" width="9.75" style="250" customWidth="1"/>
    <col min="2575" max="2575" width="7.875" style="250" customWidth="1"/>
    <col min="2576" max="2576" width="8.625" style="250" customWidth="1"/>
    <col min="2577" max="2577" width="8.625" style="250" bestFit="1" customWidth="1"/>
    <col min="2578" max="2578" width="8.75" style="250" bestFit="1" customWidth="1"/>
    <col min="2579" max="2580" width="8.625" style="250" bestFit="1" customWidth="1"/>
    <col min="2581" max="2581" width="9.75" style="250" bestFit="1" customWidth="1"/>
    <col min="2582" max="2582" width="10.5" style="250" bestFit="1" customWidth="1"/>
    <col min="2583" max="2820" width="9" style="250"/>
    <col min="2821" max="2821" width="18.75" style="250" customWidth="1"/>
    <col min="2822" max="2824" width="9.75" style="250" customWidth="1"/>
    <col min="2825" max="2825" width="8.625" style="250" customWidth="1"/>
    <col min="2826" max="2826" width="9.75" style="250" customWidth="1"/>
    <col min="2827" max="2827" width="8.625" style="250" customWidth="1"/>
    <col min="2828" max="2828" width="7.875" style="250" customWidth="1"/>
    <col min="2829" max="2830" width="9.75" style="250" customWidth="1"/>
    <col min="2831" max="2831" width="7.875" style="250" customWidth="1"/>
    <col min="2832" max="2832" width="8.625" style="250" customWidth="1"/>
    <col min="2833" max="2833" width="8.625" style="250" bestFit="1" customWidth="1"/>
    <col min="2834" max="2834" width="8.75" style="250" bestFit="1" customWidth="1"/>
    <col min="2835" max="2836" width="8.625" style="250" bestFit="1" customWidth="1"/>
    <col min="2837" max="2837" width="9.75" style="250" bestFit="1" customWidth="1"/>
    <col min="2838" max="2838" width="10.5" style="250" bestFit="1" customWidth="1"/>
    <col min="2839" max="3076" width="9" style="250"/>
    <col min="3077" max="3077" width="18.75" style="250" customWidth="1"/>
    <col min="3078" max="3080" width="9.75" style="250" customWidth="1"/>
    <col min="3081" max="3081" width="8.625" style="250" customWidth="1"/>
    <col min="3082" max="3082" width="9.75" style="250" customWidth="1"/>
    <col min="3083" max="3083" width="8.625" style="250" customWidth="1"/>
    <col min="3084" max="3084" width="7.875" style="250" customWidth="1"/>
    <col min="3085" max="3086" width="9.75" style="250" customWidth="1"/>
    <col min="3087" max="3087" width="7.875" style="250" customWidth="1"/>
    <col min="3088" max="3088" width="8.625" style="250" customWidth="1"/>
    <col min="3089" max="3089" width="8.625" style="250" bestFit="1" customWidth="1"/>
    <col min="3090" max="3090" width="8.75" style="250" bestFit="1" customWidth="1"/>
    <col min="3091" max="3092" width="8.625" style="250" bestFit="1" customWidth="1"/>
    <col min="3093" max="3093" width="9.75" style="250" bestFit="1" customWidth="1"/>
    <col min="3094" max="3094" width="10.5" style="250" bestFit="1" customWidth="1"/>
    <col min="3095" max="3332" width="9" style="250"/>
    <col min="3333" max="3333" width="18.75" style="250" customWidth="1"/>
    <col min="3334" max="3336" width="9.75" style="250" customWidth="1"/>
    <col min="3337" max="3337" width="8.625" style="250" customWidth="1"/>
    <col min="3338" max="3338" width="9.75" style="250" customWidth="1"/>
    <col min="3339" max="3339" width="8.625" style="250" customWidth="1"/>
    <col min="3340" max="3340" width="7.875" style="250" customWidth="1"/>
    <col min="3341" max="3342" width="9.75" style="250" customWidth="1"/>
    <col min="3343" max="3343" width="7.875" style="250" customWidth="1"/>
    <col min="3344" max="3344" width="8.625" style="250" customWidth="1"/>
    <col min="3345" max="3345" width="8.625" style="250" bestFit="1" customWidth="1"/>
    <col min="3346" max="3346" width="8.75" style="250" bestFit="1" customWidth="1"/>
    <col min="3347" max="3348" width="8.625" style="250" bestFit="1" customWidth="1"/>
    <col min="3349" max="3349" width="9.75" style="250" bestFit="1" customWidth="1"/>
    <col min="3350" max="3350" width="10.5" style="250" bestFit="1" customWidth="1"/>
    <col min="3351" max="3588" width="9" style="250"/>
    <col min="3589" max="3589" width="18.75" style="250" customWidth="1"/>
    <col min="3590" max="3592" width="9.75" style="250" customWidth="1"/>
    <col min="3593" max="3593" width="8.625" style="250" customWidth="1"/>
    <col min="3594" max="3594" width="9.75" style="250" customWidth="1"/>
    <col min="3595" max="3595" width="8.625" style="250" customWidth="1"/>
    <col min="3596" max="3596" width="7.875" style="250" customWidth="1"/>
    <col min="3597" max="3598" width="9.75" style="250" customWidth="1"/>
    <col min="3599" max="3599" width="7.875" style="250" customWidth="1"/>
    <col min="3600" max="3600" width="8.625" style="250" customWidth="1"/>
    <col min="3601" max="3601" width="8.625" style="250" bestFit="1" customWidth="1"/>
    <col min="3602" max="3602" width="8.75" style="250" bestFit="1" customWidth="1"/>
    <col min="3603" max="3604" width="8.625" style="250" bestFit="1" customWidth="1"/>
    <col min="3605" max="3605" width="9.75" style="250" bestFit="1" customWidth="1"/>
    <col min="3606" max="3606" width="10.5" style="250" bestFit="1" customWidth="1"/>
    <col min="3607" max="3844" width="9" style="250"/>
    <col min="3845" max="3845" width="18.75" style="250" customWidth="1"/>
    <col min="3846" max="3848" width="9.75" style="250" customWidth="1"/>
    <col min="3849" max="3849" width="8.625" style="250" customWidth="1"/>
    <col min="3850" max="3850" width="9.75" style="250" customWidth="1"/>
    <col min="3851" max="3851" width="8.625" style="250" customWidth="1"/>
    <col min="3852" max="3852" width="7.875" style="250" customWidth="1"/>
    <col min="3853" max="3854" width="9.75" style="250" customWidth="1"/>
    <col min="3855" max="3855" width="7.875" style="250" customWidth="1"/>
    <col min="3856" max="3856" width="8.625" style="250" customWidth="1"/>
    <col min="3857" max="3857" width="8.625" style="250" bestFit="1" customWidth="1"/>
    <col min="3858" max="3858" width="8.75" style="250" bestFit="1" customWidth="1"/>
    <col min="3859" max="3860" width="8.625" style="250" bestFit="1" customWidth="1"/>
    <col min="3861" max="3861" width="9.75" style="250" bestFit="1" customWidth="1"/>
    <col min="3862" max="3862" width="10.5" style="250" bestFit="1" customWidth="1"/>
    <col min="3863" max="4100" width="9" style="250"/>
    <col min="4101" max="4101" width="18.75" style="250" customWidth="1"/>
    <col min="4102" max="4104" width="9.75" style="250" customWidth="1"/>
    <col min="4105" max="4105" width="8.625" style="250" customWidth="1"/>
    <col min="4106" max="4106" width="9.75" style="250" customWidth="1"/>
    <col min="4107" max="4107" width="8.625" style="250" customWidth="1"/>
    <col min="4108" max="4108" width="7.875" style="250" customWidth="1"/>
    <col min="4109" max="4110" width="9.75" style="250" customWidth="1"/>
    <col min="4111" max="4111" width="7.875" style="250" customWidth="1"/>
    <col min="4112" max="4112" width="8.625" style="250" customWidth="1"/>
    <col min="4113" max="4113" width="8.625" style="250" bestFit="1" customWidth="1"/>
    <col min="4114" max="4114" width="8.75" style="250" bestFit="1" customWidth="1"/>
    <col min="4115" max="4116" width="8.625" style="250" bestFit="1" customWidth="1"/>
    <col min="4117" max="4117" width="9.75" style="250" bestFit="1" customWidth="1"/>
    <col min="4118" max="4118" width="10.5" style="250" bestFit="1" customWidth="1"/>
    <col min="4119" max="4356" width="9" style="250"/>
    <col min="4357" max="4357" width="18.75" style="250" customWidth="1"/>
    <col min="4358" max="4360" width="9.75" style="250" customWidth="1"/>
    <col min="4361" max="4361" width="8.625" style="250" customWidth="1"/>
    <col min="4362" max="4362" width="9.75" style="250" customWidth="1"/>
    <col min="4363" max="4363" width="8.625" style="250" customWidth="1"/>
    <col min="4364" max="4364" width="7.875" style="250" customWidth="1"/>
    <col min="4365" max="4366" width="9.75" style="250" customWidth="1"/>
    <col min="4367" max="4367" width="7.875" style="250" customWidth="1"/>
    <col min="4368" max="4368" width="8.625" style="250" customWidth="1"/>
    <col min="4369" max="4369" width="8.625" style="250" bestFit="1" customWidth="1"/>
    <col min="4370" max="4370" width="8.75" style="250" bestFit="1" customWidth="1"/>
    <col min="4371" max="4372" width="8.625" style="250" bestFit="1" customWidth="1"/>
    <col min="4373" max="4373" width="9.75" style="250" bestFit="1" customWidth="1"/>
    <col min="4374" max="4374" width="10.5" style="250" bestFit="1" customWidth="1"/>
    <col min="4375" max="4612" width="9" style="250"/>
    <col min="4613" max="4613" width="18.75" style="250" customWidth="1"/>
    <col min="4614" max="4616" width="9.75" style="250" customWidth="1"/>
    <col min="4617" max="4617" width="8.625" style="250" customWidth="1"/>
    <col min="4618" max="4618" width="9.75" style="250" customWidth="1"/>
    <col min="4619" max="4619" width="8.625" style="250" customWidth="1"/>
    <col min="4620" max="4620" width="7.875" style="250" customWidth="1"/>
    <col min="4621" max="4622" width="9.75" style="250" customWidth="1"/>
    <col min="4623" max="4623" width="7.875" style="250" customWidth="1"/>
    <col min="4624" max="4624" width="8.625" style="250" customWidth="1"/>
    <col min="4625" max="4625" width="8.625" style="250" bestFit="1" customWidth="1"/>
    <col min="4626" max="4626" width="8.75" style="250" bestFit="1" customWidth="1"/>
    <col min="4627" max="4628" width="8.625" style="250" bestFit="1" customWidth="1"/>
    <col min="4629" max="4629" width="9.75" style="250" bestFit="1" customWidth="1"/>
    <col min="4630" max="4630" width="10.5" style="250" bestFit="1" customWidth="1"/>
    <col min="4631" max="4868" width="9" style="250"/>
    <col min="4869" max="4869" width="18.75" style="250" customWidth="1"/>
    <col min="4870" max="4872" width="9.75" style="250" customWidth="1"/>
    <col min="4873" max="4873" width="8.625" style="250" customWidth="1"/>
    <col min="4874" max="4874" width="9.75" style="250" customWidth="1"/>
    <col min="4875" max="4875" width="8.625" style="250" customWidth="1"/>
    <col min="4876" max="4876" width="7.875" style="250" customWidth="1"/>
    <col min="4877" max="4878" width="9.75" style="250" customWidth="1"/>
    <col min="4879" max="4879" width="7.875" style="250" customWidth="1"/>
    <col min="4880" max="4880" width="8.625" style="250" customWidth="1"/>
    <col min="4881" max="4881" width="8.625" style="250" bestFit="1" customWidth="1"/>
    <col min="4882" max="4882" width="8.75" style="250" bestFit="1" customWidth="1"/>
    <col min="4883" max="4884" width="8.625" style="250" bestFit="1" customWidth="1"/>
    <col min="4885" max="4885" width="9.75" style="250" bestFit="1" customWidth="1"/>
    <col min="4886" max="4886" width="10.5" style="250" bestFit="1" customWidth="1"/>
    <col min="4887" max="5124" width="9" style="250"/>
    <col min="5125" max="5125" width="18.75" style="250" customWidth="1"/>
    <col min="5126" max="5128" width="9.75" style="250" customWidth="1"/>
    <col min="5129" max="5129" width="8.625" style="250" customWidth="1"/>
    <col min="5130" max="5130" width="9.75" style="250" customWidth="1"/>
    <col min="5131" max="5131" width="8.625" style="250" customWidth="1"/>
    <col min="5132" max="5132" width="7.875" style="250" customWidth="1"/>
    <col min="5133" max="5134" width="9.75" style="250" customWidth="1"/>
    <col min="5135" max="5135" width="7.875" style="250" customWidth="1"/>
    <col min="5136" max="5136" width="8.625" style="250" customWidth="1"/>
    <col min="5137" max="5137" width="8.625" style="250" bestFit="1" customWidth="1"/>
    <col min="5138" max="5138" width="8.75" style="250" bestFit="1" customWidth="1"/>
    <col min="5139" max="5140" width="8.625" style="250" bestFit="1" customWidth="1"/>
    <col min="5141" max="5141" width="9.75" style="250" bestFit="1" customWidth="1"/>
    <col min="5142" max="5142" width="10.5" style="250" bestFit="1" customWidth="1"/>
    <col min="5143" max="5380" width="9" style="250"/>
    <col min="5381" max="5381" width="18.75" style="250" customWidth="1"/>
    <col min="5382" max="5384" width="9.75" style="250" customWidth="1"/>
    <col min="5385" max="5385" width="8.625" style="250" customWidth="1"/>
    <col min="5386" max="5386" width="9.75" style="250" customWidth="1"/>
    <col min="5387" max="5387" width="8.625" style="250" customWidth="1"/>
    <col min="5388" max="5388" width="7.875" style="250" customWidth="1"/>
    <col min="5389" max="5390" width="9.75" style="250" customWidth="1"/>
    <col min="5391" max="5391" width="7.875" style="250" customWidth="1"/>
    <col min="5392" max="5392" width="8.625" style="250" customWidth="1"/>
    <col min="5393" max="5393" width="8.625" style="250" bestFit="1" customWidth="1"/>
    <col min="5394" max="5394" width="8.75" style="250" bestFit="1" customWidth="1"/>
    <col min="5395" max="5396" width="8.625" style="250" bestFit="1" customWidth="1"/>
    <col min="5397" max="5397" width="9.75" style="250" bestFit="1" customWidth="1"/>
    <col min="5398" max="5398" width="10.5" style="250" bestFit="1" customWidth="1"/>
    <col min="5399" max="5636" width="9" style="250"/>
    <col min="5637" max="5637" width="18.75" style="250" customWidth="1"/>
    <col min="5638" max="5640" width="9.75" style="250" customWidth="1"/>
    <col min="5641" max="5641" width="8.625" style="250" customWidth="1"/>
    <col min="5642" max="5642" width="9.75" style="250" customWidth="1"/>
    <col min="5643" max="5643" width="8.625" style="250" customWidth="1"/>
    <col min="5644" max="5644" width="7.875" style="250" customWidth="1"/>
    <col min="5645" max="5646" width="9.75" style="250" customWidth="1"/>
    <col min="5647" max="5647" width="7.875" style="250" customWidth="1"/>
    <col min="5648" max="5648" width="8.625" style="250" customWidth="1"/>
    <col min="5649" max="5649" width="8.625" style="250" bestFit="1" customWidth="1"/>
    <col min="5650" max="5650" width="8.75" style="250" bestFit="1" customWidth="1"/>
    <col min="5651" max="5652" width="8.625" style="250" bestFit="1" customWidth="1"/>
    <col min="5653" max="5653" width="9.75" style="250" bestFit="1" customWidth="1"/>
    <col min="5654" max="5654" width="10.5" style="250" bestFit="1" customWidth="1"/>
    <col min="5655" max="5892" width="9" style="250"/>
    <col min="5893" max="5893" width="18.75" style="250" customWidth="1"/>
    <col min="5894" max="5896" width="9.75" style="250" customWidth="1"/>
    <col min="5897" max="5897" width="8.625" style="250" customWidth="1"/>
    <col min="5898" max="5898" width="9.75" style="250" customWidth="1"/>
    <col min="5899" max="5899" width="8.625" style="250" customWidth="1"/>
    <col min="5900" max="5900" width="7.875" style="250" customWidth="1"/>
    <col min="5901" max="5902" width="9.75" style="250" customWidth="1"/>
    <col min="5903" max="5903" width="7.875" style="250" customWidth="1"/>
    <col min="5904" max="5904" width="8.625" style="250" customWidth="1"/>
    <col min="5905" max="5905" width="8.625" style="250" bestFit="1" customWidth="1"/>
    <col min="5906" max="5906" width="8.75" style="250" bestFit="1" customWidth="1"/>
    <col min="5907" max="5908" width="8.625" style="250" bestFit="1" customWidth="1"/>
    <col min="5909" max="5909" width="9.75" style="250" bestFit="1" customWidth="1"/>
    <col min="5910" max="5910" width="10.5" style="250" bestFit="1" customWidth="1"/>
    <col min="5911" max="6148" width="9" style="250"/>
    <col min="6149" max="6149" width="18.75" style="250" customWidth="1"/>
    <col min="6150" max="6152" width="9.75" style="250" customWidth="1"/>
    <col min="6153" max="6153" width="8.625" style="250" customWidth="1"/>
    <col min="6154" max="6154" width="9.75" style="250" customWidth="1"/>
    <col min="6155" max="6155" width="8.625" style="250" customWidth="1"/>
    <col min="6156" max="6156" width="7.875" style="250" customWidth="1"/>
    <col min="6157" max="6158" width="9.75" style="250" customWidth="1"/>
    <col min="6159" max="6159" width="7.875" style="250" customWidth="1"/>
    <col min="6160" max="6160" width="8.625" style="250" customWidth="1"/>
    <col min="6161" max="6161" width="8.625" style="250" bestFit="1" customWidth="1"/>
    <col min="6162" max="6162" width="8.75" style="250" bestFit="1" customWidth="1"/>
    <col min="6163" max="6164" width="8.625" style="250" bestFit="1" customWidth="1"/>
    <col min="6165" max="6165" width="9.75" style="250" bestFit="1" customWidth="1"/>
    <col min="6166" max="6166" width="10.5" style="250" bestFit="1" customWidth="1"/>
    <col min="6167" max="6404" width="9" style="250"/>
    <col min="6405" max="6405" width="18.75" style="250" customWidth="1"/>
    <col min="6406" max="6408" width="9.75" style="250" customWidth="1"/>
    <col min="6409" max="6409" width="8.625" style="250" customWidth="1"/>
    <col min="6410" max="6410" width="9.75" style="250" customWidth="1"/>
    <col min="6411" max="6411" width="8.625" style="250" customWidth="1"/>
    <col min="6412" max="6412" width="7.875" style="250" customWidth="1"/>
    <col min="6413" max="6414" width="9.75" style="250" customWidth="1"/>
    <col min="6415" max="6415" width="7.875" style="250" customWidth="1"/>
    <col min="6416" max="6416" width="8.625" style="250" customWidth="1"/>
    <col min="6417" max="6417" width="8.625" style="250" bestFit="1" customWidth="1"/>
    <col min="6418" max="6418" width="8.75" style="250" bestFit="1" customWidth="1"/>
    <col min="6419" max="6420" width="8.625" style="250" bestFit="1" customWidth="1"/>
    <col min="6421" max="6421" width="9.75" style="250" bestFit="1" customWidth="1"/>
    <col min="6422" max="6422" width="10.5" style="250" bestFit="1" customWidth="1"/>
    <col min="6423" max="6660" width="9" style="250"/>
    <col min="6661" max="6661" width="18.75" style="250" customWidth="1"/>
    <col min="6662" max="6664" width="9.75" style="250" customWidth="1"/>
    <col min="6665" max="6665" width="8.625" style="250" customWidth="1"/>
    <col min="6666" max="6666" width="9.75" style="250" customWidth="1"/>
    <col min="6667" max="6667" width="8.625" style="250" customWidth="1"/>
    <col min="6668" max="6668" width="7.875" style="250" customWidth="1"/>
    <col min="6669" max="6670" width="9.75" style="250" customWidth="1"/>
    <col min="6671" max="6671" width="7.875" style="250" customWidth="1"/>
    <col min="6672" max="6672" width="8.625" style="250" customWidth="1"/>
    <col min="6673" max="6673" width="8.625" style="250" bestFit="1" customWidth="1"/>
    <col min="6674" max="6674" width="8.75" style="250" bestFit="1" customWidth="1"/>
    <col min="6675" max="6676" width="8.625" style="250" bestFit="1" customWidth="1"/>
    <col min="6677" max="6677" width="9.75" style="250" bestFit="1" customWidth="1"/>
    <col min="6678" max="6678" width="10.5" style="250" bestFit="1" customWidth="1"/>
    <col min="6679" max="6916" width="9" style="250"/>
    <col min="6917" max="6917" width="18.75" style="250" customWidth="1"/>
    <col min="6918" max="6920" width="9.75" style="250" customWidth="1"/>
    <col min="6921" max="6921" width="8.625" style="250" customWidth="1"/>
    <col min="6922" max="6922" width="9.75" style="250" customWidth="1"/>
    <col min="6923" max="6923" width="8.625" style="250" customWidth="1"/>
    <col min="6924" max="6924" width="7.875" style="250" customWidth="1"/>
    <col min="6925" max="6926" width="9.75" style="250" customWidth="1"/>
    <col min="6927" max="6927" width="7.875" style="250" customWidth="1"/>
    <col min="6928" max="6928" width="8.625" style="250" customWidth="1"/>
    <col min="6929" max="6929" width="8.625" style="250" bestFit="1" customWidth="1"/>
    <col min="6930" max="6930" width="8.75" style="250" bestFit="1" customWidth="1"/>
    <col min="6931" max="6932" width="8.625" style="250" bestFit="1" customWidth="1"/>
    <col min="6933" max="6933" width="9.75" style="250" bestFit="1" customWidth="1"/>
    <col min="6934" max="6934" width="10.5" style="250" bestFit="1" customWidth="1"/>
    <col min="6935" max="7172" width="9" style="250"/>
    <col min="7173" max="7173" width="18.75" style="250" customWidth="1"/>
    <col min="7174" max="7176" width="9.75" style="250" customWidth="1"/>
    <col min="7177" max="7177" width="8.625" style="250" customWidth="1"/>
    <col min="7178" max="7178" width="9.75" style="250" customWidth="1"/>
    <col min="7179" max="7179" width="8.625" style="250" customWidth="1"/>
    <col min="7180" max="7180" width="7.875" style="250" customWidth="1"/>
    <col min="7181" max="7182" width="9.75" style="250" customWidth="1"/>
    <col min="7183" max="7183" width="7.875" style="250" customWidth="1"/>
    <col min="7184" max="7184" width="8.625" style="250" customWidth="1"/>
    <col min="7185" max="7185" width="8.625" style="250" bestFit="1" customWidth="1"/>
    <col min="7186" max="7186" width="8.75" style="250" bestFit="1" customWidth="1"/>
    <col min="7187" max="7188" width="8.625" style="250" bestFit="1" customWidth="1"/>
    <col min="7189" max="7189" width="9.75" style="250" bestFit="1" customWidth="1"/>
    <col min="7190" max="7190" width="10.5" style="250" bestFit="1" customWidth="1"/>
    <col min="7191" max="7428" width="9" style="250"/>
    <col min="7429" max="7429" width="18.75" style="250" customWidth="1"/>
    <col min="7430" max="7432" width="9.75" style="250" customWidth="1"/>
    <col min="7433" max="7433" width="8.625" style="250" customWidth="1"/>
    <col min="7434" max="7434" width="9.75" style="250" customWidth="1"/>
    <col min="7435" max="7435" width="8.625" style="250" customWidth="1"/>
    <col min="7436" max="7436" width="7.875" style="250" customWidth="1"/>
    <col min="7437" max="7438" width="9.75" style="250" customWidth="1"/>
    <col min="7439" max="7439" width="7.875" style="250" customWidth="1"/>
    <col min="7440" max="7440" width="8.625" style="250" customWidth="1"/>
    <col min="7441" max="7441" width="8.625" style="250" bestFit="1" customWidth="1"/>
    <col min="7442" max="7442" width="8.75" style="250" bestFit="1" customWidth="1"/>
    <col min="7443" max="7444" width="8.625" style="250" bestFit="1" customWidth="1"/>
    <col min="7445" max="7445" width="9.75" style="250" bestFit="1" customWidth="1"/>
    <col min="7446" max="7446" width="10.5" style="250" bestFit="1" customWidth="1"/>
    <col min="7447" max="7684" width="9" style="250"/>
    <col min="7685" max="7685" width="18.75" style="250" customWidth="1"/>
    <col min="7686" max="7688" width="9.75" style="250" customWidth="1"/>
    <col min="7689" max="7689" width="8.625" style="250" customWidth="1"/>
    <col min="7690" max="7690" width="9.75" style="250" customWidth="1"/>
    <col min="7691" max="7691" width="8.625" style="250" customWidth="1"/>
    <col min="7692" max="7692" width="7.875" style="250" customWidth="1"/>
    <col min="7693" max="7694" width="9.75" style="250" customWidth="1"/>
    <col min="7695" max="7695" width="7.875" style="250" customWidth="1"/>
    <col min="7696" max="7696" width="8.625" style="250" customWidth="1"/>
    <col min="7697" max="7697" width="8.625" style="250" bestFit="1" customWidth="1"/>
    <col min="7698" max="7698" width="8.75" style="250" bestFit="1" customWidth="1"/>
    <col min="7699" max="7700" width="8.625" style="250" bestFit="1" customWidth="1"/>
    <col min="7701" max="7701" width="9.75" style="250" bestFit="1" customWidth="1"/>
    <col min="7702" max="7702" width="10.5" style="250" bestFit="1" customWidth="1"/>
    <col min="7703" max="7940" width="9" style="250"/>
    <col min="7941" max="7941" width="18.75" style="250" customWidth="1"/>
    <col min="7942" max="7944" width="9.75" style="250" customWidth="1"/>
    <col min="7945" max="7945" width="8.625" style="250" customWidth="1"/>
    <col min="7946" max="7946" width="9.75" style="250" customWidth="1"/>
    <col min="7947" max="7947" width="8.625" style="250" customWidth="1"/>
    <col min="7948" max="7948" width="7.875" style="250" customWidth="1"/>
    <col min="7949" max="7950" width="9.75" style="250" customWidth="1"/>
    <col min="7951" max="7951" width="7.875" style="250" customWidth="1"/>
    <col min="7952" max="7952" width="8.625" style="250" customWidth="1"/>
    <col min="7953" max="7953" width="8.625" style="250" bestFit="1" customWidth="1"/>
    <col min="7954" max="7954" width="8.75" style="250" bestFit="1" customWidth="1"/>
    <col min="7955" max="7956" width="8.625" style="250" bestFit="1" customWidth="1"/>
    <col min="7957" max="7957" width="9.75" style="250" bestFit="1" customWidth="1"/>
    <col min="7958" max="7958" width="10.5" style="250" bestFit="1" customWidth="1"/>
    <col min="7959" max="8196" width="9" style="250"/>
    <col min="8197" max="8197" width="18.75" style="250" customWidth="1"/>
    <col min="8198" max="8200" width="9.75" style="250" customWidth="1"/>
    <col min="8201" max="8201" width="8.625" style="250" customWidth="1"/>
    <col min="8202" max="8202" width="9.75" style="250" customWidth="1"/>
    <col min="8203" max="8203" width="8.625" style="250" customWidth="1"/>
    <col min="8204" max="8204" width="7.875" style="250" customWidth="1"/>
    <col min="8205" max="8206" width="9.75" style="250" customWidth="1"/>
    <col min="8207" max="8207" width="7.875" style="250" customWidth="1"/>
    <col min="8208" max="8208" width="8.625" style="250" customWidth="1"/>
    <col min="8209" max="8209" width="8.625" style="250" bestFit="1" customWidth="1"/>
    <col min="8210" max="8210" width="8.75" style="250" bestFit="1" customWidth="1"/>
    <col min="8211" max="8212" width="8.625" style="250" bestFit="1" customWidth="1"/>
    <col min="8213" max="8213" width="9.75" style="250" bestFit="1" customWidth="1"/>
    <col min="8214" max="8214" width="10.5" style="250" bestFit="1" customWidth="1"/>
    <col min="8215" max="8452" width="9" style="250"/>
    <col min="8453" max="8453" width="18.75" style="250" customWidth="1"/>
    <col min="8454" max="8456" width="9.75" style="250" customWidth="1"/>
    <col min="8457" max="8457" width="8.625" style="250" customWidth="1"/>
    <col min="8458" max="8458" width="9.75" style="250" customWidth="1"/>
    <col min="8459" max="8459" width="8.625" style="250" customWidth="1"/>
    <col min="8460" max="8460" width="7.875" style="250" customWidth="1"/>
    <col min="8461" max="8462" width="9.75" style="250" customWidth="1"/>
    <col min="8463" max="8463" width="7.875" style="250" customWidth="1"/>
    <col min="8464" max="8464" width="8.625" style="250" customWidth="1"/>
    <col min="8465" max="8465" width="8.625" style="250" bestFit="1" customWidth="1"/>
    <col min="8466" max="8466" width="8.75" style="250" bestFit="1" customWidth="1"/>
    <col min="8467" max="8468" width="8.625" style="250" bestFit="1" customWidth="1"/>
    <col min="8469" max="8469" width="9.75" style="250" bestFit="1" customWidth="1"/>
    <col min="8470" max="8470" width="10.5" style="250" bestFit="1" customWidth="1"/>
    <col min="8471" max="8708" width="9" style="250"/>
    <col min="8709" max="8709" width="18.75" style="250" customWidth="1"/>
    <col min="8710" max="8712" width="9.75" style="250" customWidth="1"/>
    <col min="8713" max="8713" width="8.625" style="250" customWidth="1"/>
    <col min="8714" max="8714" width="9.75" style="250" customWidth="1"/>
    <col min="8715" max="8715" width="8.625" style="250" customWidth="1"/>
    <col min="8716" max="8716" width="7.875" style="250" customWidth="1"/>
    <col min="8717" max="8718" width="9.75" style="250" customWidth="1"/>
    <col min="8719" max="8719" width="7.875" style="250" customWidth="1"/>
    <col min="8720" max="8720" width="8.625" style="250" customWidth="1"/>
    <col min="8721" max="8721" width="8.625" style="250" bestFit="1" customWidth="1"/>
    <col min="8722" max="8722" width="8.75" style="250" bestFit="1" customWidth="1"/>
    <col min="8723" max="8724" width="8.625" style="250" bestFit="1" customWidth="1"/>
    <col min="8725" max="8725" width="9.75" style="250" bestFit="1" customWidth="1"/>
    <col min="8726" max="8726" width="10.5" style="250" bestFit="1" customWidth="1"/>
    <col min="8727" max="8964" width="9" style="250"/>
    <col min="8965" max="8965" width="18.75" style="250" customWidth="1"/>
    <col min="8966" max="8968" width="9.75" style="250" customWidth="1"/>
    <col min="8969" max="8969" width="8.625" style="250" customWidth="1"/>
    <col min="8970" max="8970" width="9.75" style="250" customWidth="1"/>
    <col min="8971" max="8971" width="8.625" style="250" customWidth="1"/>
    <col min="8972" max="8972" width="7.875" style="250" customWidth="1"/>
    <col min="8973" max="8974" width="9.75" style="250" customWidth="1"/>
    <col min="8975" max="8975" width="7.875" style="250" customWidth="1"/>
    <col min="8976" max="8976" width="8.625" style="250" customWidth="1"/>
    <col min="8977" max="8977" width="8.625" style="250" bestFit="1" customWidth="1"/>
    <col min="8978" max="8978" width="8.75" style="250" bestFit="1" customWidth="1"/>
    <col min="8979" max="8980" width="8.625" style="250" bestFit="1" customWidth="1"/>
    <col min="8981" max="8981" width="9.75" style="250" bestFit="1" customWidth="1"/>
    <col min="8982" max="8982" width="10.5" style="250" bestFit="1" customWidth="1"/>
    <col min="8983" max="9220" width="9" style="250"/>
    <col min="9221" max="9221" width="18.75" style="250" customWidth="1"/>
    <col min="9222" max="9224" width="9.75" style="250" customWidth="1"/>
    <col min="9225" max="9225" width="8.625" style="250" customWidth="1"/>
    <col min="9226" max="9226" width="9.75" style="250" customWidth="1"/>
    <col min="9227" max="9227" width="8.625" style="250" customWidth="1"/>
    <col min="9228" max="9228" width="7.875" style="250" customWidth="1"/>
    <col min="9229" max="9230" width="9.75" style="250" customWidth="1"/>
    <col min="9231" max="9231" width="7.875" style="250" customWidth="1"/>
    <col min="9232" max="9232" width="8.625" style="250" customWidth="1"/>
    <col min="9233" max="9233" width="8.625" style="250" bestFit="1" customWidth="1"/>
    <col min="9234" max="9234" width="8.75" style="250" bestFit="1" customWidth="1"/>
    <col min="9235" max="9236" width="8.625" style="250" bestFit="1" customWidth="1"/>
    <col min="9237" max="9237" width="9.75" style="250" bestFit="1" customWidth="1"/>
    <col min="9238" max="9238" width="10.5" style="250" bestFit="1" customWidth="1"/>
    <col min="9239" max="9476" width="9" style="250"/>
    <col min="9477" max="9477" width="18.75" style="250" customWidth="1"/>
    <col min="9478" max="9480" width="9.75" style="250" customWidth="1"/>
    <col min="9481" max="9481" width="8.625" style="250" customWidth="1"/>
    <col min="9482" max="9482" width="9.75" style="250" customWidth="1"/>
    <col min="9483" max="9483" width="8.625" style="250" customWidth="1"/>
    <col min="9484" max="9484" width="7.875" style="250" customWidth="1"/>
    <col min="9485" max="9486" width="9.75" style="250" customWidth="1"/>
    <col min="9487" max="9487" width="7.875" style="250" customWidth="1"/>
    <col min="9488" max="9488" width="8.625" style="250" customWidth="1"/>
    <col min="9489" max="9489" width="8.625" style="250" bestFit="1" customWidth="1"/>
    <col min="9490" max="9490" width="8.75" style="250" bestFit="1" customWidth="1"/>
    <col min="9491" max="9492" width="8.625" style="250" bestFit="1" customWidth="1"/>
    <col min="9493" max="9493" width="9.75" style="250" bestFit="1" customWidth="1"/>
    <col min="9494" max="9494" width="10.5" style="250" bestFit="1" customWidth="1"/>
    <col min="9495" max="9732" width="9" style="250"/>
    <col min="9733" max="9733" width="18.75" style="250" customWidth="1"/>
    <col min="9734" max="9736" width="9.75" style="250" customWidth="1"/>
    <col min="9737" max="9737" width="8.625" style="250" customWidth="1"/>
    <col min="9738" max="9738" width="9.75" style="250" customWidth="1"/>
    <col min="9739" max="9739" width="8.625" style="250" customWidth="1"/>
    <col min="9740" max="9740" width="7.875" style="250" customWidth="1"/>
    <col min="9741" max="9742" width="9.75" style="250" customWidth="1"/>
    <col min="9743" max="9743" width="7.875" style="250" customWidth="1"/>
    <col min="9744" max="9744" width="8.625" style="250" customWidth="1"/>
    <col min="9745" max="9745" width="8.625" style="250" bestFit="1" customWidth="1"/>
    <col min="9746" max="9746" width="8.75" style="250" bestFit="1" customWidth="1"/>
    <col min="9747" max="9748" width="8.625" style="250" bestFit="1" customWidth="1"/>
    <col min="9749" max="9749" width="9.75" style="250" bestFit="1" customWidth="1"/>
    <col min="9750" max="9750" width="10.5" style="250" bestFit="1" customWidth="1"/>
    <col min="9751" max="9988" width="9" style="250"/>
    <col min="9989" max="9989" width="18.75" style="250" customWidth="1"/>
    <col min="9990" max="9992" width="9.75" style="250" customWidth="1"/>
    <col min="9993" max="9993" width="8.625" style="250" customWidth="1"/>
    <col min="9994" max="9994" width="9.75" style="250" customWidth="1"/>
    <col min="9995" max="9995" width="8.625" style="250" customWidth="1"/>
    <col min="9996" max="9996" width="7.875" style="250" customWidth="1"/>
    <col min="9997" max="9998" width="9.75" style="250" customWidth="1"/>
    <col min="9999" max="9999" width="7.875" style="250" customWidth="1"/>
    <col min="10000" max="10000" width="8.625" style="250" customWidth="1"/>
    <col min="10001" max="10001" width="8.625" style="250" bestFit="1" customWidth="1"/>
    <col min="10002" max="10002" width="8.75" style="250" bestFit="1" customWidth="1"/>
    <col min="10003" max="10004" width="8.625" style="250" bestFit="1" customWidth="1"/>
    <col min="10005" max="10005" width="9.75" style="250" bestFit="1" customWidth="1"/>
    <col min="10006" max="10006" width="10.5" style="250" bestFit="1" customWidth="1"/>
    <col min="10007" max="10244" width="9" style="250"/>
    <col min="10245" max="10245" width="18.75" style="250" customWidth="1"/>
    <col min="10246" max="10248" width="9.75" style="250" customWidth="1"/>
    <col min="10249" max="10249" width="8.625" style="250" customWidth="1"/>
    <col min="10250" max="10250" width="9.75" style="250" customWidth="1"/>
    <col min="10251" max="10251" width="8.625" style="250" customWidth="1"/>
    <col min="10252" max="10252" width="7.875" style="250" customWidth="1"/>
    <col min="10253" max="10254" width="9.75" style="250" customWidth="1"/>
    <col min="10255" max="10255" width="7.875" style="250" customWidth="1"/>
    <col min="10256" max="10256" width="8.625" style="250" customWidth="1"/>
    <col min="10257" max="10257" width="8.625" style="250" bestFit="1" customWidth="1"/>
    <col min="10258" max="10258" width="8.75" style="250" bestFit="1" customWidth="1"/>
    <col min="10259" max="10260" width="8.625" style="250" bestFit="1" customWidth="1"/>
    <col min="10261" max="10261" width="9.75" style="250" bestFit="1" customWidth="1"/>
    <col min="10262" max="10262" width="10.5" style="250" bestFit="1" customWidth="1"/>
    <col min="10263" max="10500" width="9" style="250"/>
    <col min="10501" max="10501" width="18.75" style="250" customWidth="1"/>
    <col min="10502" max="10504" width="9.75" style="250" customWidth="1"/>
    <col min="10505" max="10505" width="8.625" style="250" customWidth="1"/>
    <col min="10506" max="10506" width="9.75" style="250" customWidth="1"/>
    <col min="10507" max="10507" width="8.625" style="250" customWidth="1"/>
    <col min="10508" max="10508" width="7.875" style="250" customWidth="1"/>
    <col min="10509" max="10510" width="9.75" style="250" customWidth="1"/>
    <col min="10511" max="10511" width="7.875" style="250" customWidth="1"/>
    <col min="10512" max="10512" width="8.625" style="250" customWidth="1"/>
    <col min="10513" max="10513" width="8.625" style="250" bestFit="1" customWidth="1"/>
    <col min="10514" max="10514" width="8.75" style="250" bestFit="1" customWidth="1"/>
    <col min="10515" max="10516" width="8.625" style="250" bestFit="1" customWidth="1"/>
    <col min="10517" max="10517" width="9.75" style="250" bestFit="1" customWidth="1"/>
    <col min="10518" max="10518" width="10.5" style="250" bestFit="1" customWidth="1"/>
    <col min="10519" max="10756" width="9" style="250"/>
    <col min="10757" max="10757" width="18.75" style="250" customWidth="1"/>
    <col min="10758" max="10760" width="9.75" style="250" customWidth="1"/>
    <col min="10761" max="10761" width="8.625" style="250" customWidth="1"/>
    <col min="10762" max="10762" width="9.75" style="250" customWidth="1"/>
    <col min="10763" max="10763" width="8.625" style="250" customWidth="1"/>
    <col min="10764" max="10764" width="7.875" style="250" customWidth="1"/>
    <col min="10765" max="10766" width="9.75" style="250" customWidth="1"/>
    <col min="10767" max="10767" width="7.875" style="250" customWidth="1"/>
    <col min="10768" max="10768" width="8.625" style="250" customWidth="1"/>
    <col min="10769" max="10769" width="8.625" style="250" bestFit="1" customWidth="1"/>
    <col min="10770" max="10770" width="8.75" style="250" bestFit="1" customWidth="1"/>
    <col min="10771" max="10772" width="8.625" style="250" bestFit="1" customWidth="1"/>
    <col min="10773" max="10773" width="9.75" style="250" bestFit="1" customWidth="1"/>
    <col min="10774" max="10774" width="10.5" style="250" bestFit="1" customWidth="1"/>
    <col min="10775" max="11012" width="9" style="250"/>
    <col min="11013" max="11013" width="18.75" style="250" customWidth="1"/>
    <col min="11014" max="11016" width="9.75" style="250" customWidth="1"/>
    <col min="11017" max="11017" width="8.625" style="250" customWidth="1"/>
    <col min="11018" max="11018" width="9.75" style="250" customWidth="1"/>
    <col min="11019" max="11019" width="8.625" style="250" customWidth="1"/>
    <col min="11020" max="11020" width="7.875" style="250" customWidth="1"/>
    <col min="11021" max="11022" width="9.75" style="250" customWidth="1"/>
    <col min="11023" max="11023" width="7.875" style="250" customWidth="1"/>
    <col min="11024" max="11024" width="8.625" style="250" customWidth="1"/>
    <col min="11025" max="11025" width="8.625" style="250" bestFit="1" customWidth="1"/>
    <col min="11026" max="11026" width="8.75" style="250" bestFit="1" customWidth="1"/>
    <col min="11027" max="11028" width="8.625" style="250" bestFit="1" customWidth="1"/>
    <col min="11029" max="11029" width="9.75" style="250" bestFit="1" customWidth="1"/>
    <col min="11030" max="11030" width="10.5" style="250" bestFit="1" customWidth="1"/>
    <col min="11031" max="11268" width="9" style="250"/>
    <col min="11269" max="11269" width="18.75" style="250" customWidth="1"/>
    <col min="11270" max="11272" width="9.75" style="250" customWidth="1"/>
    <col min="11273" max="11273" width="8.625" style="250" customWidth="1"/>
    <col min="11274" max="11274" width="9.75" style="250" customWidth="1"/>
    <col min="11275" max="11275" width="8.625" style="250" customWidth="1"/>
    <col min="11276" max="11276" width="7.875" style="250" customWidth="1"/>
    <col min="11277" max="11278" width="9.75" style="250" customWidth="1"/>
    <col min="11279" max="11279" width="7.875" style="250" customWidth="1"/>
    <col min="11280" max="11280" width="8.625" style="250" customWidth="1"/>
    <col min="11281" max="11281" width="8.625" style="250" bestFit="1" customWidth="1"/>
    <col min="11282" max="11282" width="8.75" style="250" bestFit="1" customWidth="1"/>
    <col min="11283" max="11284" width="8.625" style="250" bestFit="1" customWidth="1"/>
    <col min="11285" max="11285" width="9.75" style="250" bestFit="1" customWidth="1"/>
    <col min="11286" max="11286" width="10.5" style="250" bestFit="1" customWidth="1"/>
    <col min="11287" max="11524" width="9" style="250"/>
    <col min="11525" max="11525" width="18.75" style="250" customWidth="1"/>
    <col min="11526" max="11528" width="9.75" style="250" customWidth="1"/>
    <col min="11529" max="11529" width="8.625" style="250" customWidth="1"/>
    <col min="11530" max="11530" width="9.75" style="250" customWidth="1"/>
    <col min="11531" max="11531" width="8.625" style="250" customWidth="1"/>
    <col min="11532" max="11532" width="7.875" style="250" customWidth="1"/>
    <col min="11533" max="11534" width="9.75" style="250" customWidth="1"/>
    <col min="11535" max="11535" width="7.875" style="250" customWidth="1"/>
    <col min="11536" max="11536" width="8.625" style="250" customWidth="1"/>
    <col min="11537" max="11537" width="8.625" style="250" bestFit="1" customWidth="1"/>
    <col min="11538" max="11538" width="8.75" style="250" bestFit="1" customWidth="1"/>
    <col min="11539" max="11540" width="8.625" style="250" bestFit="1" customWidth="1"/>
    <col min="11541" max="11541" width="9.75" style="250" bestFit="1" customWidth="1"/>
    <col min="11542" max="11542" width="10.5" style="250" bestFit="1" customWidth="1"/>
    <col min="11543" max="11780" width="9" style="250"/>
    <col min="11781" max="11781" width="18.75" style="250" customWidth="1"/>
    <col min="11782" max="11784" width="9.75" style="250" customWidth="1"/>
    <col min="11785" max="11785" width="8.625" style="250" customWidth="1"/>
    <col min="11786" max="11786" width="9.75" style="250" customWidth="1"/>
    <col min="11787" max="11787" width="8.625" style="250" customWidth="1"/>
    <col min="11788" max="11788" width="7.875" style="250" customWidth="1"/>
    <col min="11789" max="11790" width="9.75" style="250" customWidth="1"/>
    <col min="11791" max="11791" width="7.875" style="250" customWidth="1"/>
    <col min="11792" max="11792" width="8.625" style="250" customWidth="1"/>
    <col min="11793" max="11793" width="8.625" style="250" bestFit="1" customWidth="1"/>
    <col min="11794" max="11794" width="8.75" style="250" bestFit="1" customWidth="1"/>
    <col min="11795" max="11796" width="8.625" style="250" bestFit="1" customWidth="1"/>
    <col min="11797" max="11797" width="9.75" style="250" bestFit="1" customWidth="1"/>
    <col min="11798" max="11798" width="10.5" style="250" bestFit="1" customWidth="1"/>
    <col min="11799" max="12036" width="9" style="250"/>
    <col min="12037" max="12037" width="18.75" style="250" customWidth="1"/>
    <col min="12038" max="12040" width="9.75" style="250" customWidth="1"/>
    <col min="12041" max="12041" width="8.625" style="250" customWidth="1"/>
    <col min="12042" max="12042" width="9.75" style="250" customWidth="1"/>
    <col min="12043" max="12043" width="8.625" style="250" customWidth="1"/>
    <col min="12044" max="12044" width="7.875" style="250" customWidth="1"/>
    <col min="12045" max="12046" width="9.75" style="250" customWidth="1"/>
    <col min="12047" max="12047" width="7.875" style="250" customWidth="1"/>
    <col min="12048" max="12048" width="8.625" style="250" customWidth="1"/>
    <col min="12049" max="12049" width="8.625" style="250" bestFit="1" customWidth="1"/>
    <col min="12050" max="12050" width="8.75" style="250" bestFit="1" customWidth="1"/>
    <col min="12051" max="12052" width="8.625" style="250" bestFit="1" customWidth="1"/>
    <col min="12053" max="12053" width="9.75" style="250" bestFit="1" customWidth="1"/>
    <col min="12054" max="12054" width="10.5" style="250" bestFit="1" customWidth="1"/>
    <col min="12055" max="12292" width="9" style="250"/>
    <col min="12293" max="12293" width="18.75" style="250" customWidth="1"/>
    <col min="12294" max="12296" width="9.75" style="250" customWidth="1"/>
    <col min="12297" max="12297" width="8.625" style="250" customWidth="1"/>
    <col min="12298" max="12298" width="9.75" style="250" customWidth="1"/>
    <col min="12299" max="12299" width="8.625" style="250" customWidth="1"/>
    <col min="12300" max="12300" width="7.875" style="250" customWidth="1"/>
    <col min="12301" max="12302" width="9.75" style="250" customWidth="1"/>
    <col min="12303" max="12303" width="7.875" style="250" customWidth="1"/>
    <col min="12304" max="12304" width="8.625" style="250" customWidth="1"/>
    <col min="12305" max="12305" width="8.625" style="250" bestFit="1" customWidth="1"/>
    <col min="12306" max="12306" width="8.75" style="250" bestFit="1" customWidth="1"/>
    <col min="12307" max="12308" width="8.625" style="250" bestFit="1" customWidth="1"/>
    <col min="12309" max="12309" width="9.75" style="250" bestFit="1" customWidth="1"/>
    <col min="12310" max="12310" width="10.5" style="250" bestFit="1" customWidth="1"/>
    <col min="12311" max="12548" width="9" style="250"/>
    <col min="12549" max="12549" width="18.75" style="250" customWidth="1"/>
    <col min="12550" max="12552" width="9.75" style="250" customWidth="1"/>
    <col min="12553" max="12553" width="8.625" style="250" customWidth="1"/>
    <col min="12554" max="12554" width="9.75" style="250" customWidth="1"/>
    <col min="12555" max="12555" width="8.625" style="250" customWidth="1"/>
    <col min="12556" max="12556" width="7.875" style="250" customWidth="1"/>
    <col min="12557" max="12558" width="9.75" style="250" customWidth="1"/>
    <col min="12559" max="12559" width="7.875" style="250" customWidth="1"/>
    <col min="12560" max="12560" width="8.625" style="250" customWidth="1"/>
    <col min="12561" max="12561" width="8.625" style="250" bestFit="1" customWidth="1"/>
    <col min="12562" max="12562" width="8.75" style="250" bestFit="1" customWidth="1"/>
    <col min="12563" max="12564" width="8.625" style="250" bestFit="1" customWidth="1"/>
    <col min="12565" max="12565" width="9.75" style="250" bestFit="1" customWidth="1"/>
    <col min="12566" max="12566" width="10.5" style="250" bestFit="1" customWidth="1"/>
    <col min="12567" max="12804" width="9" style="250"/>
    <col min="12805" max="12805" width="18.75" style="250" customWidth="1"/>
    <col min="12806" max="12808" width="9.75" style="250" customWidth="1"/>
    <col min="12809" max="12809" width="8.625" style="250" customWidth="1"/>
    <col min="12810" max="12810" width="9.75" style="250" customWidth="1"/>
    <col min="12811" max="12811" width="8.625" style="250" customWidth="1"/>
    <col min="12812" max="12812" width="7.875" style="250" customWidth="1"/>
    <col min="12813" max="12814" width="9.75" style="250" customWidth="1"/>
    <col min="12815" max="12815" width="7.875" style="250" customWidth="1"/>
    <col min="12816" max="12816" width="8.625" style="250" customWidth="1"/>
    <col min="12817" max="12817" width="8.625" style="250" bestFit="1" customWidth="1"/>
    <col min="12818" max="12818" width="8.75" style="250" bestFit="1" customWidth="1"/>
    <col min="12819" max="12820" width="8.625" style="250" bestFit="1" customWidth="1"/>
    <col min="12821" max="12821" width="9.75" style="250" bestFit="1" customWidth="1"/>
    <col min="12822" max="12822" width="10.5" style="250" bestFit="1" customWidth="1"/>
    <col min="12823" max="13060" width="9" style="250"/>
    <col min="13061" max="13061" width="18.75" style="250" customWidth="1"/>
    <col min="13062" max="13064" width="9.75" style="250" customWidth="1"/>
    <col min="13065" max="13065" width="8.625" style="250" customWidth="1"/>
    <col min="13066" max="13066" width="9.75" style="250" customWidth="1"/>
    <col min="13067" max="13067" width="8.625" style="250" customWidth="1"/>
    <col min="13068" max="13068" width="7.875" style="250" customWidth="1"/>
    <col min="13069" max="13070" width="9.75" style="250" customWidth="1"/>
    <col min="13071" max="13071" width="7.875" style="250" customWidth="1"/>
    <col min="13072" max="13072" width="8.625" style="250" customWidth="1"/>
    <col min="13073" max="13073" width="8.625" style="250" bestFit="1" customWidth="1"/>
    <col min="13074" max="13074" width="8.75" style="250" bestFit="1" customWidth="1"/>
    <col min="13075" max="13076" width="8.625" style="250" bestFit="1" customWidth="1"/>
    <col min="13077" max="13077" width="9.75" style="250" bestFit="1" customWidth="1"/>
    <col min="13078" max="13078" width="10.5" style="250" bestFit="1" customWidth="1"/>
    <col min="13079" max="13316" width="9" style="250"/>
    <col min="13317" max="13317" width="18.75" style="250" customWidth="1"/>
    <col min="13318" max="13320" width="9.75" style="250" customWidth="1"/>
    <col min="13321" max="13321" width="8.625" style="250" customWidth="1"/>
    <col min="13322" max="13322" width="9.75" style="250" customWidth="1"/>
    <col min="13323" max="13323" width="8.625" style="250" customWidth="1"/>
    <col min="13324" max="13324" width="7.875" style="250" customWidth="1"/>
    <col min="13325" max="13326" width="9.75" style="250" customWidth="1"/>
    <col min="13327" max="13327" width="7.875" style="250" customWidth="1"/>
    <col min="13328" max="13328" width="8.625" style="250" customWidth="1"/>
    <col min="13329" max="13329" width="8.625" style="250" bestFit="1" customWidth="1"/>
    <col min="13330" max="13330" width="8.75" style="250" bestFit="1" customWidth="1"/>
    <col min="13331" max="13332" width="8.625" style="250" bestFit="1" customWidth="1"/>
    <col min="13333" max="13333" width="9.75" style="250" bestFit="1" customWidth="1"/>
    <col min="13334" max="13334" width="10.5" style="250" bestFit="1" customWidth="1"/>
    <col min="13335" max="13572" width="9" style="250"/>
    <col min="13573" max="13573" width="18.75" style="250" customWidth="1"/>
    <col min="13574" max="13576" width="9.75" style="250" customWidth="1"/>
    <col min="13577" max="13577" width="8.625" style="250" customWidth="1"/>
    <col min="13578" max="13578" width="9.75" style="250" customWidth="1"/>
    <col min="13579" max="13579" width="8.625" style="250" customWidth="1"/>
    <col min="13580" max="13580" width="7.875" style="250" customWidth="1"/>
    <col min="13581" max="13582" width="9.75" style="250" customWidth="1"/>
    <col min="13583" max="13583" width="7.875" style="250" customWidth="1"/>
    <col min="13584" max="13584" width="8.625" style="250" customWidth="1"/>
    <col min="13585" max="13585" width="8.625" style="250" bestFit="1" customWidth="1"/>
    <col min="13586" max="13586" width="8.75" style="250" bestFit="1" customWidth="1"/>
    <col min="13587" max="13588" width="8.625" style="250" bestFit="1" customWidth="1"/>
    <col min="13589" max="13589" width="9.75" style="250" bestFit="1" customWidth="1"/>
    <col min="13590" max="13590" width="10.5" style="250" bestFit="1" customWidth="1"/>
    <col min="13591" max="13828" width="9" style="250"/>
    <col min="13829" max="13829" width="18.75" style="250" customWidth="1"/>
    <col min="13830" max="13832" width="9.75" style="250" customWidth="1"/>
    <col min="13833" max="13833" width="8.625" style="250" customWidth="1"/>
    <col min="13834" max="13834" width="9.75" style="250" customWidth="1"/>
    <col min="13835" max="13835" width="8.625" style="250" customWidth="1"/>
    <col min="13836" max="13836" width="7.875" style="250" customWidth="1"/>
    <col min="13837" max="13838" width="9.75" style="250" customWidth="1"/>
    <col min="13839" max="13839" width="7.875" style="250" customWidth="1"/>
    <col min="13840" max="13840" width="8.625" style="250" customWidth="1"/>
    <col min="13841" max="13841" width="8.625" style="250" bestFit="1" customWidth="1"/>
    <col min="13842" max="13842" width="8.75" style="250" bestFit="1" customWidth="1"/>
    <col min="13843" max="13844" width="8.625" style="250" bestFit="1" customWidth="1"/>
    <col min="13845" max="13845" width="9.75" style="250" bestFit="1" customWidth="1"/>
    <col min="13846" max="13846" width="10.5" style="250" bestFit="1" customWidth="1"/>
    <col min="13847" max="14084" width="9" style="250"/>
    <col min="14085" max="14085" width="18.75" style="250" customWidth="1"/>
    <col min="14086" max="14088" width="9.75" style="250" customWidth="1"/>
    <col min="14089" max="14089" width="8.625" style="250" customWidth="1"/>
    <col min="14090" max="14090" width="9.75" style="250" customWidth="1"/>
    <col min="14091" max="14091" width="8.625" style="250" customWidth="1"/>
    <col min="14092" max="14092" width="7.875" style="250" customWidth="1"/>
    <col min="14093" max="14094" width="9.75" style="250" customWidth="1"/>
    <col min="14095" max="14095" width="7.875" style="250" customWidth="1"/>
    <col min="14096" max="14096" width="8.625" style="250" customWidth="1"/>
    <col min="14097" max="14097" width="8.625" style="250" bestFit="1" customWidth="1"/>
    <col min="14098" max="14098" width="8.75" style="250" bestFit="1" customWidth="1"/>
    <col min="14099" max="14100" width="8.625" style="250" bestFit="1" customWidth="1"/>
    <col min="14101" max="14101" width="9.75" style="250" bestFit="1" customWidth="1"/>
    <col min="14102" max="14102" width="10.5" style="250" bestFit="1" customWidth="1"/>
    <col min="14103" max="14340" width="9" style="250"/>
    <col min="14341" max="14341" width="18.75" style="250" customWidth="1"/>
    <col min="14342" max="14344" width="9.75" style="250" customWidth="1"/>
    <col min="14345" max="14345" width="8.625" style="250" customWidth="1"/>
    <col min="14346" max="14346" width="9.75" style="250" customWidth="1"/>
    <col min="14347" max="14347" width="8.625" style="250" customWidth="1"/>
    <col min="14348" max="14348" width="7.875" style="250" customWidth="1"/>
    <col min="14349" max="14350" width="9.75" style="250" customWidth="1"/>
    <col min="14351" max="14351" width="7.875" style="250" customWidth="1"/>
    <col min="14352" max="14352" width="8.625" style="250" customWidth="1"/>
    <col min="14353" max="14353" width="8.625" style="250" bestFit="1" customWidth="1"/>
    <col min="14354" max="14354" width="8.75" style="250" bestFit="1" customWidth="1"/>
    <col min="14355" max="14356" width="8.625" style="250" bestFit="1" customWidth="1"/>
    <col min="14357" max="14357" width="9.75" style="250" bestFit="1" customWidth="1"/>
    <col min="14358" max="14358" width="10.5" style="250" bestFit="1" customWidth="1"/>
    <col min="14359" max="14596" width="9" style="250"/>
    <col min="14597" max="14597" width="18.75" style="250" customWidth="1"/>
    <col min="14598" max="14600" width="9.75" style="250" customWidth="1"/>
    <col min="14601" max="14601" width="8.625" style="250" customWidth="1"/>
    <col min="14602" max="14602" width="9.75" style="250" customWidth="1"/>
    <col min="14603" max="14603" width="8.625" style="250" customWidth="1"/>
    <col min="14604" max="14604" width="7.875" style="250" customWidth="1"/>
    <col min="14605" max="14606" width="9.75" style="250" customWidth="1"/>
    <col min="14607" max="14607" width="7.875" style="250" customWidth="1"/>
    <col min="14608" max="14608" width="8.625" style="250" customWidth="1"/>
    <col min="14609" max="14609" width="8.625" style="250" bestFit="1" customWidth="1"/>
    <col min="14610" max="14610" width="8.75" style="250" bestFit="1" customWidth="1"/>
    <col min="14611" max="14612" width="8.625" style="250" bestFit="1" customWidth="1"/>
    <col min="14613" max="14613" width="9.75" style="250" bestFit="1" customWidth="1"/>
    <col min="14614" max="14614" width="10.5" style="250" bestFit="1" customWidth="1"/>
    <col min="14615" max="14852" width="9" style="250"/>
    <col min="14853" max="14853" width="18.75" style="250" customWidth="1"/>
    <col min="14854" max="14856" width="9.75" style="250" customWidth="1"/>
    <col min="14857" max="14857" width="8.625" style="250" customWidth="1"/>
    <col min="14858" max="14858" width="9.75" style="250" customWidth="1"/>
    <col min="14859" max="14859" width="8.625" style="250" customWidth="1"/>
    <col min="14860" max="14860" width="7.875" style="250" customWidth="1"/>
    <col min="14861" max="14862" width="9.75" style="250" customWidth="1"/>
    <col min="14863" max="14863" width="7.875" style="250" customWidth="1"/>
    <col min="14864" max="14864" width="8.625" style="250" customWidth="1"/>
    <col min="14865" max="14865" width="8.625" style="250" bestFit="1" customWidth="1"/>
    <col min="14866" max="14866" width="8.75" style="250" bestFit="1" customWidth="1"/>
    <col min="14867" max="14868" width="8.625" style="250" bestFit="1" customWidth="1"/>
    <col min="14869" max="14869" width="9.75" style="250" bestFit="1" customWidth="1"/>
    <col min="14870" max="14870" width="10.5" style="250" bestFit="1" customWidth="1"/>
    <col min="14871" max="15108" width="9" style="250"/>
    <col min="15109" max="15109" width="18.75" style="250" customWidth="1"/>
    <col min="15110" max="15112" width="9.75" style="250" customWidth="1"/>
    <col min="15113" max="15113" width="8.625" style="250" customWidth="1"/>
    <col min="15114" max="15114" width="9.75" style="250" customWidth="1"/>
    <col min="15115" max="15115" width="8.625" style="250" customWidth="1"/>
    <col min="15116" max="15116" width="7.875" style="250" customWidth="1"/>
    <col min="15117" max="15118" width="9.75" style="250" customWidth="1"/>
    <col min="15119" max="15119" width="7.875" style="250" customWidth="1"/>
    <col min="15120" max="15120" width="8.625" style="250" customWidth="1"/>
    <col min="15121" max="15121" width="8.625" style="250" bestFit="1" customWidth="1"/>
    <col min="15122" max="15122" width="8.75" style="250" bestFit="1" customWidth="1"/>
    <col min="15123" max="15124" width="8.625" style="250" bestFit="1" customWidth="1"/>
    <col min="15125" max="15125" width="9.75" style="250" bestFit="1" customWidth="1"/>
    <col min="15126" max="15126" width="10.5" style="250" bestFit="1" customWidth="1"/>
    <col min="15127" max="15364" width="9" style="250"/>
    <col min="15365" max="15365" width="18.75" style="250" customWidth="1"/>
    <col min="15366" max="15368" width="9.75" style="250" customWidth="1"/>
    <col min="15369" max="15369" width="8.625" style="250" customWidth="1"/>
    <col min="15370" max="15370" width="9.75" style="250" customWidth="1"/>
    <col min="15371" max="15371" width="8.625" style="250" customWidth="1"/>
    <col min="15372" max="15372" width="7.875" style="250" customWidth="1"/>
    <col min="15373" max="15374" width="9.75" style="250" customWidth="1"/>
    <col min="15375" max="15375" width="7.875" style="250" customWidth="1"/>
    <col min="15376" max="15376" width="8.625" style="250" customWidth="1"/>
    <col min="15377" max="15377" width="8.625" style="250" bestFit="1" customWidth="1"/>
    <col min="15378" max="15378" width="8.75" style="250" bestFit="1" customWidth="1"/>
    <col min="15379" max="15380" width="8.625" style="250" bestFit="1" customWidth="1"/>
    <col min="15381" max="15381" width="9.75" style="250" bestFit="1" customWidth="1"/>
    <col min="15382" max="15382" width="10.5" style="250" bestFit="1" customWidth="1"/>
    <col min="15383" max="15620" width="9" style="250"/>
    <col min="15621" max="15621" width="18.75" style="250" customWidth="1"/>
    <col min="15622" max="15624" width="9.75" style="250" customWidth="1"/>
    <col min="15625" max="15625" width="8.625" style="250" customWidth="1"/>
    <col min="15626" max="15626" width="9.75" style="250" customWidth="1"/>
    <col min="15627" max="15627" width="8.625" style="250" customWidth="1"/>
    <col min="15628" max="15628" width="7.875" style="250" customWidth="1"/>
    <col min="15629" max="15630" width="9.75" style="250" customWidth="1"/>
    <col min="15631" max="15631" width="7.875" style="250" customWidth="1"/>
    <col min="15632" max="15632" width="8.625" style="250" customWidth="1"/>
    <col min="15633" max="15633" width="8.625" style="250" bestFit="1" customWidth="1"/>
    <col min="15634" max="15634" width="8.75" style="250" bestFit="1" customWidth="1"/>
    <col min="15635" max="15636" width="8.625" style="250" bestFit="1" customWidth="1"/>
    <col min="15637" max="15637" width="9.75" style="250" bestFit="1" customWidth="1"/>
    <col min="15638" max="15638" width="10.5" style="250" bestFit="1" customWidth="1"/>
    <col min="15639" max="15876" width="9" style="250"/>
    <col min="15877" max="15877" width="18.75" style="250" customWidth="1"/>
    <col min="15878" max="15880" width="9.75" style="250" customWidth="1"/>
    <col min="15881" max="15881" width="8.625" style="250" customWidth="1"/>
    <col min="15882" max="15882" width="9.75" style="250" customWidth="1"/>
    <col min="15883" max="15883" width="8.625" style="250" customWidth="1"/>
    <col min="15884" max="15884" width="7.875" style="250" customWidth="1"/>
    <col min="15885" max="15886" width="9.75" style="250" customWidth="1"/>
    <col min="15887" max="15887" width="7.875" style="250" customWidth="1"/>
    <col min="15888" max="15888" width="8.625" style="250" customWidth="1"/>
    <col min="15889" max="15889" width="8.625" style="250" bestFit="1" customWidth="1"/>
    <col min="15890" max="15890" width="8.75" style="250" bestFit="1" customWidth="1"/>
    <col min="15891" max="15892" width="8.625" style="250" bestFit="1" customWidth="1"/>
    <col min="15893" max="15893" width="9.75" style="250" bestFit="1" customWidth="1"/>
    <col min="15894" max="15894" width="10.5" style="250" bestFit="1" customWidth="1"/>
    <col min="15895" max="16132" width="9" style="250"/>
    <col min="16133" max="16133" width="18.75" style="250" customWidth="1"/>
    <col min="16134" max="16136" width="9.75" style="250" customWidth="1"/>
    <col min="16137" max="16137" width="8.625" style="250" customWidth="1"/>
    <col min="16138" max="16138" width="9.75" style="250" customWidth="1"/>
    <col min="16139" max="16139" width="8.625" style="250" customWidth="1"/>
    <col min="16140" max="16140" width="7.875" style="250" customWidth="1"/>
    <col min="16141" max="16142" width="9.75" style="250" customWidth="1"/>
    <col min="16143" max="16143" width="7.875" style="250" customWidth="1"/>
    <col min="16144" max="16144" width="8.625" style="250" customWidth="1"/>
    <col min="16145" max="16145" width="8.625" style="250" bestFit="1" customWidth="1"/>
    <col min="16146" max="16146" width="8.75" style="250" bestFit="1" customWidth="1"/>
    <col min="16147" max="16148" width="8.625" style="250" bestFit="1" customWidth="1"/>
    <col min="16149" max="16149" width="9.75" style="250" bestFit="1" customWidth="1"/>
    <col min="16150" max="16150" width="10.5" style="250" bestFit="1" customWidth="1"/>
    <col min="16151" max="16384" width="9" style="250"/>
  </cols>
  <sheetData>
    <row r="1" spans="1:22" ht="21" customHeight="1" thickBot="1">
      <c r="A1" s="452" t="s">
        <v>163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</row>
    <row r="2" spans="1:22" s="256" customFormat="1" ht="21" customHeight="1">
      <c r="A2" s="251" t="s">
        <v>121</v>
      </c>
      <c r="B2" s="446" t="s">
        <v>122</v>
      </c>
      <c r="C2" s="447"/>
      <c r="D2" s="448"/>
      <c r="E2" s="446" t="s">
        <v>123</v>
      </c>
      <c r="F2" s="448"/>
      <c r="G2" s="446" t="s">
        <v>124</v>
      </c>
      <c r="H2" s="448"/>
      <c r="I2" s="252" t="s">
        <v>125</v>
      </c>
      <c r="J2" s="253" t="s">
        <v>204</v>
      </c>
      <c r="K2" s="446" t="s">
        <v>126</v>
      </c>
      <c r="L2" s="448"/>
      <c r="M2" s="449" t="s">
        <v>127</v>
      </c>
      <c r="N2" s="450"/>
      <c r="O2" s="446" t="s">
        <v>128</v>
      </c>
      <c r="P2" s="447"/>
      <c r="Q2" s="448"/>
      <c r="R2" s="449" t="s">
        <v>129</v>
      </c>
      <c r="S2" s="450"/>
      <c r="T2" s="254" t="s">
        <v>130</v>
      </c>
      <c r="U2" s="252" t="s">
        <v>131</v>
      </c>
      <c r="V2" s="255" t="s">
        <v>109</v>
      </c>
    </row>
    <row r="3" spans="1:22" s="256" customFormat="1" ht="21" customHeight="1" thickBot="1">
      <c r="A3" s="257" t="s">
        <v>132</v>
      </c>
      <c r="B3" s="258" t="s">
        <v>133</v>
      </c>
      <c r="C3" s="259" t="s">
        <v>134</v>
      </c>
      <c r="D3" s="259" t="s">
        <v>135</v>
      </c>
      <c r="E3" s="260" t="s">
        <v>136</v>
      </c>
      <c r="F3" s="260" t="s">
        <v>205</v>
      </c>
      <c r="G3" s="258" t="s">
        <v>167</v>
      </c>
      <c r="H3" s="258" t="s">
        <v>137</v>
      </c>
      <c r="I3" s="258" t="s">
        <v>138</v>
      </c>
      <c r="J3" s="261" t="s">
        <v>206</v>
      </c>
      <c r="K3" s="260" t="s">
        <v>139</v>
      </c>
      <c r="L3" s="260" t="s">
        <v>140</v>
      </c>
      <c r="M3" s="262" t="s">
        <v>141</v>
      </c>
      <c r="N3" s="262" t="s">
        <v>168</v>
      </c>
      <c r="O3" s="263" t="s">
        <v>142</v>
      </c>
      <c r="P3" s="259" t="s">
        <v>143</v>
      </c>
      <c r="Q3" s="264" t="s">
        <v>144</v>
      </c>
      <c r="R3" s="262" t="s">
        <v>145</v>
      </c>
      <c r="S3" s="262" t="s">
        <v>207</v>
      </c>
      <c r="T3" s="262" t="s">
        <v>146</v>
      </c>
      <c r="U3" s="260" t="s">
        <v>147</v>
      </c>
      <c r="V3" s="265"/>
    </row>
    <row r="4" spans="1:22" ht="21" customHeight="1">
      <c r="A4" s="277">
        <v>541000</v>
      </c>
      <c r="B4" s="275"/>
      <c r="C4" s="288"/>
      <c r="D4" s="279"/>
      <c r="E4" s="278"/>
      <c r="F4" s="278"/>
      <c r="G4" s="279"/>
      <c r="H4" s="279"/>
      <c r="I4" s="278"/>
      <c r="J4" s="275"/>
      <c r="K4" s="278"/>
      <c r="L4" s="278"/>
      <c r="M4" s="273"/>
      <c r="N4" s="273"/>
      <c r="O4" s="273"/>
      <c r="P4" s="278"/>
      <c r="Q4" s="278"/>
      <c r="R4" s="273"/>
      <c r="S4" s="273"/>
      <c r="T4" s="273"/>
      <c r="U4" s="278"/>
      <c r="V4" s="273"/>
    </row>
    <row r="5" spans="1:22" ht="21" customHeight="1">
      <c r="A5" s="291">
        <v>410100</v>
      </c>
      <c r="B5" s="281">
        <v>68800</v>
      </c>
      <c r="C5" s="281">
        <v>0</v>
      </c>
      <c r="D5" s="281">
        <v>11000</v>
      </c>
      <c r="E5" s="281">
        <v>0</v>
      </c>
      <c r="F5" s="281">
        <v>0</v>
      </c>
      <c r="G5" s="281">
        <v>0</v>
      </c>
      <c r="H5" s="281">
        <v>5500</v>
      </c>
      <c r="I5" s="281">
        <v>0</v>
      </c>
      <c r="J5" s="281">
        <v>0</v>
      </c>
      <c r="K5" s="281">
        <v>0</v>
      </c>
      <c r="L5" s="281">
        <v>0</v>
      </c>
      <c r="M5" s="281">
        <v>0</v>
      </c>
      <c r="N5" s="281">
        <v>0</v>
      </c>
      <c r="O5" s="281">
        <v>0</v>
      </c>
      <c r="P5" s="281">
        <v>0</v>
      </c>
      <c r="Q5" s="281">
        <v>0</v>
      </c>
      <c r="R5" s="281">
        <v>0</v>
      </c>
      <c r="S5" s="281">
        <v>0</v>
      </c>
      <c r="T5" s="281">
        <v>0</v>
      </c>
      <c r="U5" s="281">
        <v>0</v>
      </c>
      <c r="V5" s="273">
        <f t="shared" ref="V5:V8" si="0">SUM(B5:U5)</f>
        <v>85300</v>
      </c>
    </row>
    <row r="6" spans="1:22" ht="21" customHeight="1">
      <c r="A6" s="280">
        <v>410600</v>
      </c>
      <c r="B6" s="281">
        <v>0</v>
      </c>
      <c r="C6" s="281">
        <v>0</v>
      </c>
      <c r="D6" s="281">
        <v>0</v>
      </c>
      <c r="E6" s="281">
        <v>0</v>
      </c>
      <c r="F6" s="281">
        <v>0</v>
      </c>
      <c r="G6" s="281">
        <v>0</v>
      </c>
      <c r="H6" s="281">
        <v>120000</v>
      </c>
      <c r="I6" s="281">
        <v>0</v>
      </c>
      <c r="J6" s="281">
        <v>0</v>
      </c>
      <c r="K6" s="281">
        <v>0</v>
      </c>
      <c r="L6" s="281">
        <v>0</v>
      </c>
      <c r="M6" s="281">
        <v>0</v>
      </c>
      <c r="N6" s="281">
        <v>0</v>
      </c>
      <c r="O6" s="281">
        <v>0</v>
      </c>
      <c r="P6" s="281">
        <v>0</v>
      </c>
      <c r="Q6" s="281">
        <v>0</v>
      </c>
      <c r="R6" s="281">
        <v>0</v>
      </c>
      <c r="S6" s="281">
        <v>0</v>
      </c>
      <c r="T6" s="281">
        <v>0</v>
      </c>
      <c r="U6" s="281">
        <v>0</v>
      </c>
      <c r="V6" s="273">
        <f t="shared" si="0"/>
        <v>120000</v>
      </c>
    </row>
    <row r="7" spans="1:22" ht="21" customHeight="1">
      <c r="A7" s="280">
        <v>411800</v>
      </c>
      <c r="B7" s="281">
        <v>100000</v>
      </c>
      <c r="C7" s="281">
        <v>0</v>
      </c>
      <c r="D7" s="281">
        <v>10000</v>
      </c>
      <c r="E7" s="281">
        <v>0</v>
      </c>
      <c r="F7" s="281">
        <v>0</v>
      </c>
      <c r="G7" s="281">
        <v>0</v>
      </c>
      <c r="H7" s="281">
        <v>0</v>
      </c>
      <c r="I7" s="281">
        <v>0</v>
      </c>
      <c r="J7" s="281">
        <v>0</v>
      </c>
      <c r="K7" s="281">
        <v>10000</v>
      </c>
      <c r="L7" s="281">
        <v>0</v>
      </c>
      <c r="M7" s="281">
        <v>0</v>
      </c>
      <c r="N7" s="281">
        <v>0</v>
      </c>
      <c r="O7" s="281">
        <v>0</v>
      </c>
      <c r="P7" s="281">
        <v>0</v>
      </c>
      <c r="Q7" s="281">
        <v>0</v>
      </c>
      <c r="R7" s="281">
        <v>0</v>
      </c>
      <c r="S7" s="281">
        <v>0</v>
      </c>
      <c r="T7" s="281">
        <v>0</v>
      </c>
      <c r="U7" s="281">
        <v>0</v>
      </c>
      <c r="V7" s="273">
        <f t="shared" si="0"/>
        <v>120000</v>
      </c>
    </row>
    <row r="8" spans="1:22" ht="21" customHeight="1">
      <c r="A8" s="274" t="s">
        <v>156</v>
      </c>
      <c r="B8" s="278">
        <f t="shared" ref="B8:U8" si="1">SUM(B5:B7)</f>
        <v>168800</v>
      </c>
      <c r="C8" s="278">
        <f t="shared" si="1"/>
        <v>0</v>
      </c>
      <c r="D8" s="278">
        <f t="shared" si="1"/>
        <v>21000</v>
      </c>
      <c r="E8" s="278">
        <f t="shared" si="1"/>
        <v>0</v>
      </c>
      <c r="F8" s="278">
        <f t="shared" si="1"/>
        <v>0</v>
      </c>
      <c r="G8" s="278">
        <f t="shared" si="1"/>
        <v>0</v>
      </c>
      <c r="H8" s="278">
        <f t="shared" si="1"/>
        <v>125500</v>
      </c>
      <c r="I8" s="278">
        <f t="shared" si="1"/>
        <v>0</v>
      </c>
      <c r="J8" s="278">
        <f t="shared" si="1"/>
        <v>0</v>
      </c>
      <c r="K8" s="278">
        <f t="shared" si="1"/>
        <v>10000</v>
      </c>
      <c r="L8" s="278">
        <f t="shared" si="1"/>
        <v>0</v>
      </c>
      <c r="M8" s="278">
        <f t="shared" si="1"/>
        <v>0</v>
      </c>
      <c r="N8" s="278">
        <f t="shared" si="1"/>
        <v>0</v>
      </c>
      <c r="O8" s="278">
        <f t="shared" si="1"/>
        <v>0</v>
      </c>
      <c r="P8" s="278">
        <f t="shared" si="1"/>
        <v>0</v>
      </c>
      <c r="Q8" s="278">
        <f t="shared" si="1"/>
        <v>0</v>
      </c>
      <c r="R8" s="278">
        <f t="shared" si="1"/>
        <v>0</v>
      </c>
      <c r="S8" s="278">
        <f t="shared" si="1"/>
        <v>0</v>
      </c>
      <c r="T8" s="278">
        <f t="shared" si="1"/>
        <v>0</v>
      </c>
      <c r="U8" s="278">
        <f t="shared" si="1"/>
        <v>0</v>
      </c>
      <c r="V8" s="273">
        <f t="shared" si="0"/>
        <v>325300</v>
      </c>
    </row>
    <row r="9" spans="1:22" ht="21" customHeight="1">
      <c r="A9" s="277">
        <v>542000</v>
      </c>
      <c r="B9" s="275"/>
      <c r="C9" s="288"/>
      <c r="D9" s="279"/>
      <c r="E9" s="278"/>
      <c r="F9" s="278"/>
      <c r="G9" s="279"/>
      <c r="H9" s="279"/>
      <c r="I9" s="278"/>
      <c r="J9" s="275"/>
      <c r="K9" s="278"/>
      <c r="L9" s="278"/>
      <c r="M9" s="273"/>
      <c r="N9" s="273"/>
      <c r="O9" s="278"/>
      <c r="P9" s="278"/>
      <c r="Q9" s="278"/>
      <c r="R9" s="273"/>
      <c r="S9" s="273"/>
      <c r="T9" s="273"/>
      <c r="U9" s="278"/>
      <c r="V9" s="273"/>
    </row>
    <row r="10" spans="1:22">
      <c r="A10" s="280">
        <v>421000</v>
      </c>
      <c r="B10" s="281">
        <v>0</v>
      </c>
      <c r="C10" s="281">
        <v>0</v>
      </c>
      <c r="D10" s="281">
        <v>0</v>
      </c>
      <c r="E10" s="281">
        <v>0</v>
      </c>
      <c r="F10" s="281">
        <v>0</v>
      </c>
      <c r="G10" s="281">
        <v>0</v>
      </c>
      <c r="H10" s="281">
        <v>0</v>
      </c>
      <c r="I10" s="281">
        <v>0</v>
      </c>
      <c r="J10" s="281">
        <v>0</v>
      </c>
      <c r="K10" s="281">
        <v>0</v>
      </c>
      <c r="L10" s="281">
        <v>2559000</v>
      </c>
      <c r="M10" s="281">
        <v>0</v>
      </c>
      <c r="N10" s="281">
        <v>0</v>
      </c>
      <c r="O10" s="281">
        <v>0</v>
      </c>
      <c r="P10" s="281">
        <v>0</v>
      </c>
      <c r="Q10" s="281">
        <v>0</v>
      </c>
      <c r="R10" s="281">
        <v>0</v>
      </c>
      <c r="S10" s="281">
        <v>0</v>
      </c>
      <c r="T10" s="281">
        <v>455000</v>
      </c>
      <c r="U10" s="281">
        <v>0</v>
      </c>
      <c r="V10" s="273">
        <f>SUM(B10:U10)</f>
        <v>3014000</v>
      </c>
    </row>
    <row r="11" spans="1:22">
      <c r="A11" s="280">
        <v>421100</v>
      </c>
      <c r="B11" s="281">
        <v>0</v>
      </c>
      <c r="C11" s="281">
        <v>0</v>
      </c>
      <c r="D11" s="281">
        <v>0</v>
      </c>
      <c r="E11" s="281">
        <v>0</v>
      </c>
      <c r="F11" s="281">
        <v>0</v>
      </c>
      <c r="G11" s="281">
        <v>0</v>
      </c>
      <c r="H11" s="281">
        <v>0</v>
      </c>
      <c r="I11" s="281">
        <v>0</v>
      </c>
      <c r="J11" s="281">
        <v>0</v>
      </c>
      <c r="K11" s="281">
        <v>0</v>
      </c>
      <c r="L11" s="281">
        <v>896000</v>
      </c>
      <c r="M11" s="281">
        <v>0</v>
      </c>
      <c r="N11" s="281">
        <v>0</v>
      </c>
      <c r="O11" s="281">
        <v>0</v>
      </c>
      <c r="P11" s="281">
        <v>0</v>
      </c>
      <c r="Q11" s="281">
        <v>0</v>
      </c>
      <c r="R11" s="281">
        <v>0</v>
      </c>
      <c r="S11" s="281">
        <v>0</v>
      </c>
      <c r="T11" s="281">
        <f>50000-2500</f>
        <v>47500</v>
      </c>
      <c r="U11" s="281">
        <v>0</v>
      </c>
      <c r="V11" s="273">
        <f>SUM(B11:U11)</f>
        <v>943500</v>
      </c>
    </row>
    <row r="12" spans="1:22" ht="21" customHeight="1">
      <c r="A12" s="274" t="s">
        <v>156</v>
      </c>
      <c r="B12" s="278">
        <f t="shared" ref="B12:U12" si="2">SUM(B10:B11)</f>
        <v>0</v>
      </c>
      <c r="C12" s="278">
        <f t="shared" si="2"/>
        <v>0</v>
      </c>
      <c r="D12" s="278">
        <f t="shared" si="2"/>
        <v>0</v>
      </c>
      <c r="E12" s="278">
        <f t="shared" si="2"/>
        <v>0</v>
      </c>
      <c r="F12" s="278">
        <f t="shared" si="2"/>
        <v>0</v>
      </c>
      <c r="G12" s="278">
        <f t="shared" si="2"/>
        <v>0</v>
      </c>
      <c r="H12" s="278">
        <f t="shared" si="2"/>
        <v>0</v>
      </c>
      <c r="I12" s="278">
        <f t="shared" si="2"/>
        <v>0</v>
      </c>
      <c r="J12" s="278">
        <f t="shared" si="2"/>
        <v>0</v>
      </c>
      <c r="K12" s="278">
        <f t="shared" si="2"/>
        <v>0</v>
      </c>
      <c r="L12" s="278">
        <f t="shared" si="2"/>
        <v>3455000</v>
      </c>
      <c r="M12" s="278">
        <f t="shared" si="2"/>
        <v>0</v>
      </c>
      <c r="N12" s="278">
        <f t="shared" si="2"/>
        <v>0</v>
      </c>
      <c r="O12" s="278">
        <f t="shared" si="2"/>
        <v>0</v>
      </c>
      <c r="P12" s="278">
        <f t="shared" si="2"/>
        <v>0</v>
      </c>
      <c r="Q12" s="278">
        <f t="shared" si="2"/>
        <v>0</v>
      </c>
      <c r="R12" s="278">
        <f t="shared" si="2"/>
        <v>0</v>
      </c>
      <c r="S12" s="278">
        <f t="shared" si="2"/>
        <v>0</v>
      </c>
      <c r="T12" s="278">
        <f t="shared" si="2"/>
        <v>502500</v>
      </c>
      <c r="U12" s="278">
        <f t="shared" si="2"/>
        <v>0</v>
      </c>
      <c r="V12" s="273">
        <f>SUM(B12:U12)</f>
        <v>3957500</v>
      </c>
    </row>
    <row r="13" spans="1:22" ht="21" customHeight="1">
      <c r="A13" s="277">
        <v>551000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3"/>
    </row>
    <row r="14" spans="1:22" ht="21" customHeight="1">
      <c r="A14" s="280">
        <v>510100</v>
      </c>
      <c r="B14" s="281">
        <v>0</v>
      </c>
      <c r="C14" s="281">
        <v>0</v>
      </c>
      <c r="D14" s="281">
        <v>0</v>
      </c>
      <c r="E14" s="281">
        <v>0</v>
      </c>
      <c r="F14" s="281">
        <v>0</v>
      </c>
      <c r="G14" s="281">
        <v>0</v>
      </c>
      <c r="H14" s="281">
        <v>0</v>
      </c>
      <c r="I14" s="281">
        <v>0</v>
      </c>
      <c r="J14" s="281">
        <v>0</v>
      </c>
      <c r="K14" s="281">
        <v>0</v>
      </c>
      <c r="L14" s="281">
        <v>0</v>
      </c>
      <c r="M14" s="281">
        <v>0</v>
      </c>
      <c r="N14" s="281">
        <v>0</v>
      </c>
      <c r="O14" s="281">
        <v>0</v>
      </c>
      <c r="P14" s="281">
        <v>0</v>
      </c>
      <c r="Q14" s="281">
        <v>0</v>
      </c>
      <c r="R14" s="281">
        <v>0</v>
      </c>
      <c r="S14" s="281">
        <v>0</v>
      </c>
      <c r="T14" s="281">
        <v>0</v>
      </c>
      <c r="U14" s="281">
        <v>0</v>
      </c>
      <c r="V14" s="273">
        <f>SUM(B14:U14)</f>
        <v>0</v>
      </c>
    </row>
    <row r="15" spans="1:22" ht="21" customHeight="1">
      <c r="A15" s="274" t="s">
        <v>156</v>
      </c>
      <c r="B15" s="275">
        <f t="shared" ref="B15:U15" si="3">SUM(B14)</f>
        <v>0</v>
      </c>
      <c r="C15" s="275">
        <f t="shared" si="3"/>
        <v>0</v>
      </c>
      <c r="D15" s="275">
        <f t="shared" si="3"/>
        <v>0</v>
      </c>
      <c r="E15" s="275">
        <f t="shared" si="3"/>
        <v>0</v>
      </c>
      <c r="F15" s="275">
        <f t="shared" si="3"/>
        <v>0</v>
      </c>
      <c r="G15" s="275">
        <f t="shared" si="3"/>
        <v>0</v>
      </c>
      <c r="H15" s="275">
        <f t="shared" si="3"/>
        <v>0</v>
      </c>
      <c r="I15" s="275">
        <f t="shared" si="3"/>
        <v>0</v>
      </c>
      <c r="J15" s="275">
        <f t="shared" si="3"/>
        <v>0</v>
      </c>
      <c r="K15" s="275">
        <f t="shared" si="3"/>
        <v>0</v>
      </c>
      <c r="L15" s="275">
        <f t="shared" si="3"/>
        <v>0</v>
      </c>
      <c r="M15" s="275">
        <f t="shared" si="3"/>
        <v>0</v>
      </c>
      <c r="N15" s="275">
        <f t="shared" si="3"/>
        <v>0</v>
      </c>
      <c r="O15" s="275">
        <f t="shared" si="3"/>
        <v>0</v>
      </c>
      <c r="P15" s="275">
        <f t="shared" si="3"/>
        <v>0</v>
      </c>
      <c r="Q15" s="275">
        <f t="shared" si="3"/>
        <v>0</v>
      </c>
      <c r="R15" s="275">
        <f t="shared" si="3"/>
        <v>0</v>
      </c>
      <c r="S15" s="275">
        <f t="shared" si="3"/>
        <v>0</v>
      </c>
      <c r="T15" s="275">
        <f t="shared" si="3"/>
        <v>0</v>
      </c>
      <c r="U15" s="275">
        <f t="shared" si="3"/>
        <v>0</v>
      </c>
      <c r="V15" s="273">
        <f>SUM(B15:U15)</f>
        <v>0</v>
      </c>
    </row>
    <row r="16" spans="1:22" ht="21" customHeight="1">
      <c r="A16" s="277">
        <v>561000</v>
      </c>
      <c r="B16" s="275"/>
      <c r="C16" s="288">
        <f>SUM(C7:C15)</f>
        <v>0</v>
      </c>
      <c r="D16" s="279"/>
      <c r="E16" s="278"/>
      <c r="F16" s="278"/>
      <c r="G16" s="279"/>
      <c r="H16" s="279"/>
      <c r="I16" s="278"/>
      <c r="J16" s="275"/>
      <c r="K16" s="278"/>
      <c r="L16" s="278"/>
      <c r="M16" s="273"/>
      <c r="N16" s="273"/>
      <c r="O16" s="278"/>
      <c r="P16" s="278"/>
      <c r="Q16" s="278"/>
      <c r="R16" s="273" t="s">
        <v>208</v>
      </c>
      <c r="S16" s="273" t="s">
        <v>208</v>
      </c>
      <c r="T16" s="273"/>
      <c r="U16" s="278"/>
      <c r="V16" s="273"/>
    </row>
    <row r="17" spans="1:22" ht="21" customHeight="1">
      <c r="A17" s="280">
        <v>610100</v>
      </c>
      <c r="B17" s="281">
        <v>20000</v>
      </c>
      <c r="C17" s="281">
        <v>0</v>
      </c>
      <c r="D17" s="281">
        <v>0</v>
      </c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281">
        <v>0</v>
      </c>
      <c r="K17" s="281">
        <v>0</v>
      </c>
      <c r="L17" s="281">
        <v>0</v>
      </c>
      <c r="M17" s="281">
        <v>0</v>
      </c>
      <c r="N17" s="281">
        <v>0</v>
      </c>
      <c r="O17" s="281">
        <v>0</v>
      </c>
      <c r="P17" s="281">
        <v>0</v>
      </c>
      <c r="Q17" s="281">
        <v>0</v>
      </c>
      <c r="R17" s="281">
        <v>0</v>
      </c>
      <c r="S17" s="281">
        <v>0</v>
      </c>
      <c r="T17" s="281">
        <v>0</v>
      </c>
      <c r="U17" s="281">
        <v>0</v>
      </c>
      <c r="V17" s="273">
        <f t="shared" ref="V17:V20" si="4">SUM(B17:U17)</f>
        <v>20000</v>
      </c>
    </row>
    <row r="18" spans="1:22" ht="21" customHeight="1">
      <c r="A18" s="280">
        <v>610200</v>
      </c>
      <c r="B18" s="281">
        <v>0</v>
      </c>
      <c r="C18" s="281">
        <v>0</v>
      </c>
      <c r="D18" s="281">
        <v>0</v>
      </c>
      <c r="E18" s="281">
        <v>0</v>
      </c>
      <c r="F18" s="281">
        <v>0</v>
      </c>
      <c r="G18" s="281">
        <v>0</v>
      </c>
      <c r="H18" s="281">
        <f>1220000-287000</f>
        <v>933000</v>
      </c>
      <c r="I18" s="281">
        <v>0</v>
      </c>
      <c r="J18" s="281">
        <v>0</v>
      </c>
      <c r="K18" s="281">
        <v>0</v>
      </c>
      <c r="L18" s="281">
        <v>200000</v>
      </c>
      <c r="M18" s="281">
        <v>0</v>
      </c>
      <c r="N18" s="281">
        <v>0</v>
      </c>
      <c r="O18" s="281">
        <v>0</v>
      </c>
      <c r="P18" s="281">
        <v>0</v>
      </c>
      <c r="Q18" s="281">
        <f>38000-3000-(-2000)</f>
        <v>37000</v>
      </c>
      <c r="R18" s="281">
        <v>0</v>
      </c>
      <c r="S18" s="281">
        <v>0</v>
      </c>
      <c r="T18" s="281">
        <v>0</v>
      </c>
      <c r="U18" s="281">
        <v>0</v>
      </c>
      <c r="V18" s="273">
        <f t="shared" si="4"/>
        <v>1170000</v>
      </c>
    </row>
    <row r="19" spans="1:22" ht="21" customHeight="1">
      <c r="A19" s="274" t="s">
        <v>156</v>
      </c>
      <c r="B19" s="281">
        <f t="shared" ref="B19:U19" si="5">SUM(B17:B18)</f>
        <v>20000</v>
      </c>
      <c r="C19" s="281">
        <f t="shared" si="5"/>
        <v>0</v>
      </c>
      <c r="D19" s="281">
        <f t="shared" si="5"/>
        <v>0</v>
      </c>
      <c r="E19" s="281">
        <f t="shared" si="5"/>
        <v>0</v>
      </c>
      <c r="F19" s="281">
        <f t="shared" si="5"/>
        <v>0</v>
      </c>
      <c r="G19" s="281">
        <f t="shared" si="5"/>
        <v>0</v>
      </c>
      <c r="H19" s="281">
        <f t="shared" si="5"/>
        <v>933000</v>
      </c>
      <c r="I19" s="281">
        <f t="shared" si="5"/>
        <v>0</v>
      </c>
      <c r="J19" s="281">
        <f t="shared" si="5"/>
        <v>0</v>
      </c>
      <c r="K19" s="281">
        <f t="shared" si="5"/>
        <v>0</v>
      </c>
      <c r="L19" s="281">
        <f t="shared" si="5"/>
        <v>200000</v>
      </c>
      <c r="M19" s="281">
        <f t="shared" si="5"/>
        <v>0</v>
      </c>
      <c r="N19" s="281">
        <f t="shared" si="5"/>
        <v>0</v>
      </c>
      <c r="O19" s="281">
        <f t="shared" si="5"/>
        <v>0</v>
      </c>
      <c r="P19" s="281">
        <f t="shared" si="5"/>
        <v>0</v>
      </c>
      <c r="Q19" s="281">
        <f t="shared" si="5"/>
        <v>37000</v>
      </c>
      <c r="R19" s="281">
        <f t="shared" si="5"/>
        <v>0</v>
      </c>
      <c r="S19" s="281">
        <f t="shared" si="5"/>
        <v>0</v>
      </c>
      <c r="T19" s="281">
        <f t="shared" si="5"/>
        <v>0</v>
      </c>
      <c r="U19" s="281">
        <f t="shared" si="5"/>
        <v>0</v>
      </c>
      <c r="V19" s="273">
        <f t="shared" si="4"/>
        <v>1190000</v>
      </c>
    </row>
    <row r="20" spans="1:22" s="292" customFormat="1" ht="21" customHeight="1">
      <c r="A20" s="274" t="s">
        <v>164</v>
      </c>
      <c r="B20" s="278">
        <f>'คงเหลือรายรับ (1)'!B16+'คงเหลือรายรับ (1)'!B23+'คงเหลือรายรับ (1)'!B31+'คงเหลือรายรับ (1)'!B37+'คงเหลือรายรับ (2)'!B9+'คงเหลือรายรับ (2)'!B23+'คงเหลือรายรับ (2)'!B29+'คงเหลือรายรับ (3)'!B8+'คงเหลือรายรับ (3)'!B12+'คงเหลือรายรับ (3)'!B15+'คงเหลือรายรับ (3)'!B19</f>
        <v>7494828.9800000004</v>
      </c>
      <c r="C20" s="278">
        <f>'คงเหลือรายรับ (1)'!C16+'คงเหลือรายรับ (1)'!C23+'คงเหลือรายรับ (1)'!C31+'คงเหลือรายรับ (1)'!C37+'คงเหลือรายรับ (2)'!C9+'คงเหลือรายรับ (2)'!C23+'คงเหลือรายรับ (2)'!C29+'คงเหลือรายรับ (3)'!C8+'คงเหลือรายรับ (3)'!C12+'คงเหลือรายรับ (3)'!C15+'คงเหลือรายรับ (3)'!C19</f>
        <v>45000</v>
      </c>
      <c r="D20" s="278">
        <f>'คงเหลือรายรับ (1)'!D16+'คงเหลือรายรับ (1)'!D23+'คงเหลือรายรับ (1)'!D31+'คงเหลือรายรับ (1)'!D37+'คงเหลือรายรับ (2)'!D9+'คงเหลือรายรับ (2)'!D23+'คงเหลือรายรับ (2)'!D29+'คงเหลือรายรับ (3)'!D8+'คงเหลือรายรับ (3)'!D12+'คงเหลือรายรับ (3)'!D15+'คงเหลือรายรับ (3)'!D19</f>
        <v>1691570</v>
      </c>
      <c r="E20" s="278">
        <f>'คงเหลือรายรับ (1)'!E16+'คงเหลือรายรับ (1)'!E23+'คงเหลือรายรับ (1)'!E31+'คงเหลือรายรับ (1)'!E37+'คงเหลือรายรับ (2)'!E9+'คงเหลือรายรับ (2)'!E23+'คงเหลือรายรับ (2)'!E29+'คงเหลือรายรับ (3)'!E8+'คงเหลือรายรับ (3)'!E12+'คงเหลือรายรับ (3)'!E15+'คงเหลือรายรับ (3)'!E19</f>
        <v>120000</v>
      </c>
      <c r="F20" s="278">
        <f>'คงเหลือรายรับ (1)'!F16+'คงเหลือรายรับ (1)'!F23+'คงเหลือรายรับ (1)'!F31+'คงเหลือรายรับ (1)'!F37+'คงเหลือรายรับ (2)'!F9+'คงเหลือรายรับ (2)'!F23+'คงเหลือรายรับ (2)'!F29+'คงเหลือรายรับ (3)'!F8+'คงเหลือรายรับ (3)'!F12+'คงเหลือรายรับ (3)'!F15+'คงเหลือรายรับ (3)'!F19</f>
        <v>10000</v>
      </c>
      <c r="G20" s="278">
        <f>'คงเหลือรายรับ (1)'!G16+'คงเหลือรายรับ (1)'!G23+'คงเหลือรายรับ (1)'!G31+'คงเหลือรายรับ (1)'!G37+'คงเหลือรายรับ (2)'!G9+'คงเหลือรายรับ (2)'!G23+'คงเหลือรายรับ (2)'!G29+'คงเหลือรายรับ (3)'!G8+'คงเหลือรายรับ (3)'!G12+'คงเหลือรายรับ (3)'!G15+'คงเหลือรายรับ (3)'!G19</f>
        <v>1724610</v>
      </c>
      <c r="H20" s="278">
        <f>'คงเหลือรายรับ (1)'!H16+'คงเหลือรายรับ (1)'!H23+'คงเหลือรายรับ (1)'!H31+'คงเหลือรายรับ (1)'!H37+'คงเหลือรายรับ (2)'!H9+'คงเหลือรายรับ (2)'!H23+'คงเหลือรายรับ (2)'!H29+'คงเหลือรายรับ (3)'!H8+'คงเหลือรายรับ (3)'!H12+'คงเหลือรายรับ (3)'!H15+'คงเหลือรายรับ (3)'!H19</f>
        <v>2495900</v>
      </c>
      <c r="I20" s="278">
        <f>'คงเหลือรายรับ (1)'!I16+'คงเหลือรายรับ (1)'!I23+'คงเหลือรายรับ (1)'!I31+'คงเหลือรายรับ (1)'!I37+'คงเหลือรายรับ (2)'!I9+'คงเหลือรายรับ (2)'!I23+'คงเหลือรายรับ (2)'!I29+'คงเหลือรายรับ (3)'!I8+'คงเหลือรายรับ (3)'!I12+'คงเหลือรายรับ (3)'!I15+'คงเหลือรายรับ (3)'!I19</f>
        <v>20000</v>
      </c>
      <c r="J20" s="278">
        <f>'คงเหลือรายรับ (1)'!J16+'คงเหลือรายรับ (1)'!J23+'คงเหลือรายรับ (1)'!J31+'คงเหลือรายรับ (1)'!J37+'คงเหลือรายรับ (2)'!J9+'คงเหลือรายรับ (2)'!J23+'คงเหลือรายรับ (2)'!J29+'คงเหลือรายรับ (3)'!J8+'คงเหลือรายรับ (3)'!J12+'คงเหลือรายรับ (3)'!J15+'คงเหลือรายรับ (3)'!J19</f>
        <v>0</v>
      </c>
      <c r="K20" s="278">
        <f>'คงเหลือรายรับ (1)'!K16+'คงเหลือรายรับ (1)'!K23+'คงเหลือรายรับ (1)'!K31+'คงเหลือรายรับ (1)'!K37+'คงเหลือรายรับ (2)'!K9+'คงเหลือรายรับ (2)'!K23+'คงเหลือรายรับ (2)'!K29+'คงเหลือรายรับ (3)'!K8+'คงเหลือรายรับ (3)'!K12+'คงเหลือรายรับ (3)'!K15+'คงเหลือรายรับ (3)'!K19</f>
        <v>1730388</v>
      </c>
      <c r="L20" s="278">
        <f>'คงเหลือรายรับ (1)'!L16+'คงเหลือรายรับ (1)'!L23+'คงเหลือรายรับ (1)'!L31+'คงเหลือรายรับ (1)'!L37+'คงเหลือรายรับ (2)'!L9+'คงเหลือรายรับ (2)'!L23+'คงเหลือรายรับ (2)'!L29+'คงเหลือรายรับ (3)'!L8+'คงเหลือรายรับ (3)'!L12+'คงเหลือรายรับ (3)'!L15+'คงเหลือรายรับ (3)'!L19</f>
        <v>4165000</v>
      </c>
      <c r="M20" s="278">
        <f>'คงเหลือรายรับ (1)'!M16+'คงเหลือรายรับ (1)'!M23+'คงเหลือรายรับ (1)'!M31+'คงเหลือรายรับ (1)'!M37+'คงเหลือรายรับ (2)'!M9+'คงเหลือรายรับ (2)'!M23+'คงเหลือรายรับ (2)'!M29+'คงเหลือรายรับ (3)'!M8+'คงเหลือรายรับ (3)'!M12+'คงเหลือรายรับ (3)'!M15+'คงเหลือรายรับ (3)'!M19</f>
        <v>5000</v>
      </c>
      <c r="N20" s="278">
        <f>'คงเหลือรายรับ (1)'!N16+'คงเหลือรายรับ (1)'!N23+'คงเหลือรายรับ (1)'!N31+'คงเหลือรายรับ (1)'!N37+'คงเหลือรายรับ (2)'!N9+'คงเหลือรายรับ (2)'!N23+'คงเหลือรายรับ (2)'!N29+'คงเหลือรายรับ (3)'!N8+'คงเหลือรายรับ (3)'!N12+'คงเหลือรายรับ (3)'!N15+'คงเหลือรายรับ (3)'!N19</f>
        <v>35000</v>
      </c>
      <c r="O20" s="278">
        <f>'คงเหลือรายรับ (1)'!O16+'คงเหลือรายรับ (1)'!O23+'คงเหลือรายรับ (1)'!O31+'คงเหลือรายรับ (1)'!O37+'คงเหลือรายรับ (2)'!O9+'คงเหลือรายรับ (2)'!O23+'คงเหลือรายรับ (2)'!O29+'คงเหลือรายรับ (3)'!O8+'คงเหลือรายรับ (3)'!O12+'คงเหลือรายรับ (3)'!O15+'คงเหลือรายรับ (3)'!O19</f>
        <v>25000</v>
      </c>
      <c r="P20" s="278">
        <f>'คงเหลือรายรับ (1)'!P16+'คงเหลือรายรับ (1)'!P23+'คงเหลือรายรับ (1)'!P31+'คงเหลือรายรับ (1)'!P37+'คงเหลือรายรับ (2)'!P9+'คงเหลือรายรับ (2)'!P23+'คงเหลือรายรับ (2)'!P29+'คงเหลือรายรับ (3)'!P8+'คงเหลือรายรับ (3)'!P12+'คงเหลือรายรับ (3)'!P15+'คงเหลือรายรับ (3)'!P19</f>
        <v>50000</v>
      </c>
      <c r="Q20" s="278">
        <f>'คงเหลือรายรับ (1)'!Q16+'คงเหลือรายรับ (1)'!Q23+'คงเหลือรายรับ (1)'!Q31+'คงเหลือรายรับ (1)'!Q37+'คงเหลือรายรับ (2)'!Q9+'คงเหลือรายรับ (2)'!Q23+'คงเหลือรายรับ (2)'!Q29+'คงเหลือรายรับ (3)'!Q8+'คงเหลือรายรับ (3)'!Q12+'คงเหลือรายรับ (3)'!Q15+'คงเหลือรายรับ (3)'!Q19</f>
        <v>37000</v>
      </c>
      <c r="R20" s="278">
        <f>'คงเหลือรายรับ (1)'!R16+'คงเหลือรายรับ (1)'!R23+'คงเหลือรายรับ (1)'!R31+'คงเหลือรายรับ (1)'!R37+'คงเหลือรายรับ (2)'!R9+'คงเหลือรายรับ (2)'!R23+'คงเหลือรายรับ (2)'!R29+'คงเหลือรายรับ (3)'!R8+'คงเหลือรายรับ (3)'!R12+'คงเหลือรายรับ (3)'!R15+'คงเหลือรายรับ (3)'!R19</f>
        <v>36580</v>
      </c>
      <c r="S20" s="278">
        <f ca="1">'คงเหลือรายรับ (1)'!S16+'คงเหลือรายรับ (1)'!S23+'คงเหลือรายรับ (1)'!S31+'คงเหลือรายรับ (1)'!S37+'คงเหลือรายรับ (2)'!S9+'คงเหลือรายรับ (2)'!S23+'คงเหลือรายรับ (2)'!S29+'คงเหลือรายรับ (3)'!S8+'คงเหลือรายรับ (3)'!S12+'คงเหลือรายรับ (3)'!S15+'คงเหลือรายรับ (3)'!S19</f>
        <v>0</v>
      </c>
      <c r="T20" s="278">
        <f>'คงเหลือรายรับ (1)'!T16+'คงเหลือรายรับ (1)'!T23+'คงเหลือรายรับ (1)'!T31+'คงเหลือรายรับ (1)'!T37+'คงเหลือรายรับ (2)'!T9+'คงเหลือรายรับ (2)'!T23+'คงเหลือรายรับ (2)'!T29+'คงเหลือรายรับ (3)'!T8+'คงเหลือรายรับ (3)'!T12+'คงเหลือรายรับ (3)'!T15+'คงเหลือรายรับ (3)'!T19</f>
        <v>1099460.55</v>
      </c>
      <c r="U20" s="278">
        <f>'คงเหลือรายรับ (1)'!U16+'คงเหลือรายรับ (1)'!U23+'คงเหลือรายรับ (1)'!U31+'คงเหลือรายรับ (1)'!U37+'คงเหลือรายรับ (2)'!U9+'คงเหลือรายรับ (2)'!U23+'คงเหลือรายรับ (2)'!U29+'คงเหลือรายรับ (3)'!U8+'คงเหลือรายรับ (3)'!U12+'คงเหลือรายรับ (3)'!U15+'คงเหลือรายรับ (3)'!U19</f>
        <v>10103484.9</v>
      </c>
      <c r="V20" s="273">
        <f t="shared" ca="1" si="4"/>
        <v>30858822.43</v>
      </c>
    </row>
    <row r="21" spans="1:22" s="297" customFormat="1" ht="21" customHeight="1">
      <c r="A21" s="293"/>
      <c r="B21" s="294"/>
      <c r="C21" s="295"/>
      <c r="D21" s="295"/>
      <c r="E21" s="295"/>
      <c r="F21" s="295"/>
      <c r="G21" s="295"/>
      <c r="H21" s="295"/>
      <c r="I21" s="295"/>
      <c r="J21" s="294"/>
      <c r="K21" s="294"/>
      <c r="L21" s="295"/>
      <c r="M21" s="295"/>
      <c r="N21" s="295"/>
      <c r="O21" s="295"/>
      <c r="P21" s="295"/>
      <c r="Q21" s="294"/>
      <c r="R21" s="294"/>
      <c r="S21" s="294"/>
      <c r="T21" s="294"/>
      <c r="U21" s="294"/>
      <c r="V21" s="296"/>
    </row>
    <row r="22" spans="1:22" ht="21" customHeight="1">
      <c r="A22" s="298"/>
      <c r="B22" s="295"/>
      <c r="C22" s="295"/>
      <c r="D22" s="442" t="s">
        <v>158</v>
      </c>
      <c r="E22" s="442"/>
      <c r="F22" s="442"/>
      <c r="G22" s="442"/>
      <c r="H22" s="442"/>
      <c r="I22" s="299"/>
      <c r="J22" s="295"/>
      <c r="K22" s="295"/>
      <c r="L22" s="442" t="s">
        <v>159</v>
      </c>
      <c r="M22" s="442"/>
      <c r="N22" s="442"/>
      <c r="O22" s="442"/>
      <c r="P22" s="442"/>
      <c r="Q22" s="442"/>
      <c r="R22" s="295"/>
      <c r="S22" s="295"/>
      <c r="T22" s="295"/>
      <c r="U22" s="295"/>
      <c r="V22" s="295"/>
    </row>
    <row r="23" spans="1:22" ht="21" customHeight="1">
      <c r="A23" s="298"/>
      <c r="B23" s="295"/>
      <c r="C23" s="295"/>
      <c r="D23" s="303"/>
      <c r="E23" s="303"/>
      <c r="F23" s="303"/>
      <c r="G23" s="303"/>
      <c r="H23" s="303"/>
      <c r="I23" s="300"/>
      <c r="J23" s="295"/>
      <c r="K23" s="295"/>
      <c r="L23" s="303"/>
      <c r="M23" s="303"/>
      <c r="N23" s="303"/>
      <c r="O23" s="303"/>
      <c r="P23" s="303"/>
      <c r="Q23" s="303"/>
      <c r="R23" s="295"/>
      <c r="S23" s="295"/>
      <c r="T23" s="295"/>
      <c r="U23" s="295"/>
      <c r="V23" s="295"/>
    </row>
    <row r="24" spans="1:22">
      <c r="A24" s="298"/>
      <c r="B24" s="295"/>
      <c r="C24" s="295"/>
      <c r="D24" s="303"/>
      <c r="E24" s="303"/>
      <c r="F24" s="303"/>
      <c r="G24" s="303"/>
      <c r="H24" s="303"/>
      <c r="I24" s="300"/>
      <c r="J24" s="295"/>
      <c r="K24" s="295"/>
      <c r="L24" s="303"/>
      <c r="M24" s="303"/>
      <c r="N24" s="303"/>
      <c r="O24" s="303"/>
      <c r="P24" s="303"/>
      <c r="Q24" s="201"/>
      <c r="R24" s="295"/>
      <c r="S24" s="295"/>
      <c r="T24" s="295"/>
      <c r="U24" s="295"/>
      <c r="V24" s="295"/>
    </row>
    <row r="25" spans="1:22" ht="21" customHeight="1">
      <c r="A25" s="298"/>
      <c r="B25" s="295"/>
      <c r="C25" s="295"/>
      <c r="D25" s="442" t="s">
        <v>160</v>
      </c>
      <c r="E25" s="442"/>
      <c r="F25" s="442"/>
      <c r="G25" s="442"/>
      <c r="H25" s="442"/>
      <c r="I25" s="299"/>
      <c r="J25" s="295"/>
      <c r="K25" s="295"/>
      <c r="L25" s="442" t="s">
        <v>42</v>
      </c>
      <c r="M25" s="442"/>
      <c r="N25" s="442"/>
      <c r="O25" s="442"/>
      <c r="P25" s="442"/>
      <c r="Q25" s="442"/>
      <c r="R25" s="295"/>
      <c r="S25" s="295"/>
      <c r="T25" s="295"/>
      <c r="U25" s="295"/>
      <c r="V25" s="295"/>
    </row>
    <row r="26" spans="1:22" s="301" customFormat="1" ht="21" customHeight="1">
      <c r="A26" s="285"/>
      <c r="B26" s="295"/>
      <c r="C26" s="295"/>
      <c r="D26" s="442" t="s">
        <v>161</v>
      </c>
      <c r="E26" s="442"/>
      <c r="F26" s="442"/>
      <c r="G26" s="442"/>
      <c r="H26" s="442"/>
      <c r="I26" s="299"/>
      <c r="J26" s="295"/>
      <c r="K26" s="295"/>
      <c r="L26" s="442" t="s">
        <v>60</v>
      </c>
      <c r="M26" s="442"/>
      <c r="N26" s="442"/>
      <c r="O26" s="442"/>
      <c r="P26" s="442"/>
      <c r="Q26" s="442"/>
      <c r="R26" s="295"/>
      <c r="S26" s="295"/>
      <c r="T26" s="295"/>
      <c r="U26" s="295"/>
      <c r="V26" s="295"/>
    </row>
  </sheetData>
  <mergeCells count="14">
    <mergeCell ref="D22:H22"/>
    <mergeCell ref="L22:Q22"/>
    <mergeCell ref="D25:H25"/>
    <mergeCell ref="L25:Q25"/>
    <mergeCell ref="D26:H26"/>
    <mergeCell ref="L26:Q26"/>
    <mergeCell ref="A1:V1"/>
    <mergeCell ref="B2:D2"/>
    <mergeCell ref="E2:F2"/>
    <mergeCell ref="G2:H2"/>
    <mergeCell ref="K2:L2"/>
    <mergeCell ref="M2:N2"/>
    <mergeCell ref="O2:Q2"/>
    <mergeCell ref="R2:S2"/>
  </mergeCells>
  <printOptions horizontalCentered="1"/>
  <pageMargins left="0" right="0" top="0.55118110236220474" bottom="0" header="0" footer="0"/>
  <pageSetup paperSize="9" scale="62" orientation="landscape" horizontalDpi="180" verticalDpi="18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"/>
  <sheetViews>
    <sheetView view="pageBreakPreview" zoomScaleSheetLayoutView="100" workbookViewId="0">
      <selection activeCell="D32" sqref="D32"/>
    </sheetView>
  </sheetViews>
  <sheetFormatPr defaultRowHeight="23.25"/>
  <cols>
    <col min="1" max="1" width="26.125" style="97" customWidth="1"/>
    <col min="2" max="2" width="17" style="97" customWidth="1"/>
    <col min="3" max="3" width="10.5" style="145" customWidth="1"/>
    <col min="4" max="4" width="12.875" style="97" customWidth="1"/>
    <col min="5" max="5" width="4.5" style="97" customWidth="1"/>
    <col min="6" max="6" width="13.875" style="97" customWidth="1"/>
    <col min="7" max="7" width="4.375" style="97" customWidth="1"/>
    <col min="8" max="16384" width="9" style="97"/>
  </cols>
  <sheetData>
    <row r="1" spans="1:43">
      <c r="A1" s="385" t="s">
        <v>0</v>
      </c>
      <c r="B1" s="385"/>
      <c r="C1" s="385"/>
      <c r="D1" s="385"/>
      <c r="E1" s="385"/>
      <c r="F1" s="385"/>
      <c r="G1" s="385"/>
    </row>
    <row r="2" spans="1:43">
      <c r="A2" s="385" t="s">
        <v>47</v>
      </c>
      <c r="B2" s="385"/>
      <c r="C2" s="385"/>
      <c r="D2" s="385"/>
      <c r="E2" s="385"/>
      <c r="F2" s="385"/>
      <c r="G2" s="385"/>
    </row>
    <row r="3" spans="1:43">
      <c r="A3" s="375" t="s">
        <v>285</v>
      </c>
      <c r="B3" s="364"/>
      <c r="C3" s="375"/>
      <c r="D3" s="375"/>
      <c r="E3" s="375"/>
      <c r="F3" s="375"/>
      <c r="G3" s="375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>
      <c r="A4" s="386" t="s">
        <v>7</v>
      </c>
      <c r="B4" s="143"/>
      <c r="C4" s="388" t="s">
        <v>48</v>
      </c>
      <c r="D4" s="390" t="s">
        <v>49</v>
      </c>
      <c r="E4" s="390"/>
      <c r="F4" s="386" t="s">
        <v>50</v>
      </c>
      <c r="G4" s="392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>
      <c r="A5" s="387"/>
      <c r="B5" s="144"/>
      <c r="C5" s="389"/>
      <c r="D5" s="391"/>
      <c r="E5" s="391"/>
      <c r="F5" s="387"/>
      <c r="G5" s="393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>
      <c r="A6" s="98" t="s">
        <v>51</v>
      </c>
      <c r="B6" s="99"/>
      <c r="C6" s="100" t="s">
        <v>210</v>
      </c>
      <c r="D6" s="101">
        <v>24268</v>
      </c>
      <c r="E6" s="102">
        <v>70</v>
      </c>
      <c r="F6" s="103"/>
      <c r="G6" s="10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>
      <c r="A7" s="105" t="s">
        <v>170</v>
      </c>
      <c r="B7" s="106"/>
      <c r="C7" s="20" t="s">
        <v>211</v>
      </c>
      <c r="D7" s="101">
        <v>8129690</v>
      </c>
      <c r="E7" s="146">
        <v>13</v>
      </c>
      <c r="F7" s="107"/>
      <c r="G7" s="108"/>
    </row>
    <row r="8" spans="1:43">
      <c r="A8" s="105" t="s">
        <v>171</v>
      </c>
      <c r="B8" s="106"/>
      <c r="C8" s="20" t="s">
        <v>211</v>
      </c>
      <c r="D8" s="101">
        <v>1033789</v>
      </c>
      <c r="E8" s="146">
        <v>72</v>
      </c>
      <c r="F8" s="107"/>
      <c r="G8" s="108"/>
    </row>
    <row r="9" spans="1:43">
      <c r="A9" s="105" t="s">
        <v>118</v>
      </c>
      <c r="B9" s="106"/>
      <c r="C9" s="20" t="s">
        <v>211</v>
      </c>
      <c r="D9" s="101">
        <v>2875832</v>
      </c>
      <c r="E9" s="146">
        <v>54</v>
      </c>
      <c r="F9" s="107"/>
      <c r="G9" s="108"/>
    </row>
    <row r="10" spans="1:43">
      <c r="A10" s="105" t="s">
        <v>178</v>
      </c>
      <c r="B10" s="106"/>
      <c r="C10" s="20" t="s">
        <v>212</v>
      </c>
      <c r="D10" s="101">
        <v>316517</v>
      </c>
      <c r="E10" s="109">
        <v>48</v>
      </c>
      <c r="F10" s="110"/>
      <c r="G10" s="108"/>
    </row>
    <row r="11" spans="1:43">
      <c r="A11" s="105" t="s">
        <v>186</v>
      </c>
      <c r="B11" s="106"/>
      <c r="C11" s="20" t="s">
        <v>213</v>
      </c>
      <c r="D11" s="101">
        <v>36308</v>
      </c>
      <c r="E11" s="304" t="s">
        <v>52</v>
      </c>
      <c r="F11" s="110"/>
      <c r="G11" s="108"/>
    </row>
    <row r="12" spans="1:43">
      <c r="A12" s="105" t="s">
        <v>53</v>
      </c>
      <c r="B12" s="106"/>
      <c r="C12" s="20" t="s">
        <v>214</v>
      </c>
      <c r="D12" s="101">
        <v>29314</v>
      </c>
      <c r="E12" s="146">
        <v>50</v>
      </c>
      <c r="F12" s="107"/>
      <c r="G12" s="108"/>
    </row>
    <row r="13" spans="1:43">
      <c r="A13" s="105" t="s">
        <v>177</v>
      </c>
      <c r="B13" s="106"/>
      <c r="C13" s="20" t="s">
        <v>215</v>
      </c>
      <c r="D13" s="101">
        <v>4225</v>
      </c>
      <c r="E13" s="109" t="s">
        <v>52</v>
      </c>
      <c r="F13" s="107"/>
      <c r="G13" s="108"/>
    </row>
    <row r="14" spans="1:43">
      <c r="A14" s="105" t="s">
        <v>179</v>
      </c>
      <c r="B14" s="106"/>
      <c r="C14" s="20" t="s">
        <v>216</v>
      </c>
      <c r="D14" s="101">
        <v>57648</v>
      </c>
      <c r="E14" s="109" t="s">
        <v>52</v>
      </c>
      <c r="F14" s="110"/>
      <c r="G14" s="108"/>
    </row>
    <row r="15" spans="1:43">
      <c r="A15" s="105" t="s">
        <v>260</v>
      </c>
      <c r="B15" s="106"/>
      <c r="C15" s="20" t="s">
        <v>261</v>
      </c>
      <c r="D15" s="101">
        <v>2593000</v>
      </c>
      <c r="E15" s="109" t="s">
        <v>52</v>
      </c>
      <c r="F15" s="107"/>
      <c r="G15" s="108"/>
    </row>
    <row r="16" spans="1:43">
      <c r="A16" s="105" t="s">
        <v>274</v>
      </c>
      <c r="B16" s="106"/>
      <c r="C16" s="20" t="s">
        <v>275</v>
      </c>
      <c r="D16" s="101"/>
      <c r="E16" s="109"/>
      <c r="F16" s="101">
        <v>7854376</v>
      </c>
      <c r="G16" s="108">
        <v>28</v>
      </c>
    </row>
    <row r="17" spans="1:7">
      <c r="A17" s="105" t="s">
        <v>112</v>
      </c>
      <c r="B17" s="106"/>
      <c r="C17" s="20" t="s">
        <v>217</v>
      </c>
      <c r="D17" s="101"/>
      <c r="E17" s="111"/>
      <c r="F17" s="101">
        <v>1251371</v>
      </c>
      <c r="G17" s="108">
        <v>32</v>
      </c>
    </row>
    <row r="18" spans="1:7">
      <c r="A18" s="105" t="s">
        <v>54</v>
      </c>
      <c r="B18" s="106"/>
      <c r="C18" s="20" t="s">
        <v>218</v>
      </c>
      <c r="D18" s="112"/>
      <c r="E18" s="108"/>
      <c r="F18" s="101">
        <v>1952786</v>
      </c>
      <c r="G18" s="114">
        <v>13</v>
      </c>
    </row>
    <row r="19" spans="1:7">
      <c r="A19" s="105" t="s">
        <v>258</v>
      </c>
      <c r="B19" s="106"/>
      <c r="C19" s="20" t="s">
        <v>259</v>
      </c>
      <c r="D19" s="112"/>
      <c r="E19" s="109"/>
      <c r="F19" s="101">
        <v>1875000</v>
      </c>
      <c r="G19" s="114" t="s">
        <v>52</v>
      </c>
    </row>
    <row r="20" spans="1:7">
      <c r="A20" s="105" t="s">
        <v>20</v>
      </c>
      <c r="B20" s="106"/>
      <c r="C20" s="20" t="s">
        <v>219</v>
      </c>
      <c r="D20" s="110"/>
      <c r="E20" s="111"/>
      <c r="F20" s="101">
        <v>2910702</v>
      </c>
      <c r="G20" s="114">
        <v>4</v>
      </c>
    </row>
    <row r="21" spans="1:7">
      <c r="A21" s="105" t="s">
        <v>55</v>
      </c>
      <c r="B21" s="106"/>
      <c r="C21" s="20" t="s">
        <v>220</v>
      </c>
      <c r="D21" s="110"/>
      <c r="E21" s="109"/>
      <c r="F21" s="101">
        <v>4253935</v>
      </c>
      <c r="G21" s="108">
        <v>87</v>
      </c>
    </row>
    <row r="22" spans="1:7">
      <c r="A22" s="105" t="s">
        <v>24</v>
      </c>
      <c r="B22" s="106"/>
      <c r="C22" s="20" t="s">
        <v>221</v>
      </c>
      <c r="D22" s="113">
        <v>2023665</v>
      </c>
      <c r="E22" s="114">
        <v>10</v>
      </c>
      <c r="F22" s="110"/>
      <c r="G22" s="114"/>
    </row>
    <row r="23" spans="1:7">
      <c r="A23" s="105" t="s">
        <v>26</v>
      </c>
      <c r="B23" s="106"/>
      <c r="C23" s="20" t="s">
        <v>222</v>
      </c>
      <c r="D23" s="113">
        <v>437440</v>
      </c>
      <c r="E23" s="114" t="s">
        <v>52</v>
      </c>
      <c r="F23" s="110"/>
      <c r="G23" s="114"/>
    </row>
    <row r="24" spans="1:7">
      <c r="A24" s="105" t="s">
        <v>27</v>
      </c>
      <c r="B24" s="106"/>
      <c r="C24" s="20" t="s">
        <v>223</v>
      </c>
      <c r="D24" s="113">
        <v>1453940</v>
      </c>
      <c r="E24" s="114" t="s">
        <v>52</v>
      </c>
      <c r="F24" s="110"/>
      <c r="G24" s="114"/>
    </row>
    <row r="25" spans="1:7">
      <c r="A25" s="105" t="s">
        <v>28</v>
      </c>
      <c r="B25" s="106"/>
      <c r="C25" s="20" t="s">
        <v>224</v>
      </c>
      <c r="D25" s="113">
        <v>64750</v>
      </c>
      <c r="E25" s="114" t="s">
        <v>52</v>
      </c>
      <c r="F25" s="110"/>
      <c r="G25" s="108"/>
    </row>
    <row r="26" spans="1:7">
      <c r="A26" s="105" t="s">
        <v>29</v>
      </c>
      <c r="B26" s="106"/>
      <c r="C26" s="20" t="s">
        <v>225</v>
      </c>
      <c r="D26" s="113">
        <v>578877</v>
      </c>
      <c r="E26" s="114" t="s">
        <v>52</v>
      </c>
      <c r="F26" s="110"/>
      <c r="G26" s="108"/>
    </row>
    <row r="27" spans="1:7">
      <c r="A27" s="105" t="s">
        <v>30</v>
      </c>
      <c r="B27" s="106"/>
      <c r="C27" s="20" t="s">
        <v>226</v>
      </c>
      <c r="D27" s="113">
        <v>33025</v>
      </c>
      <c r="E27" s="114" t="s">
        <v>52</v>
      </c>
      <c r="F27" s="110"/>
      <c r="G27" s="108"/>
    </row>
    <row r="28" spans="1:7">
      <c r="A28" s="105" t="s">
        <v>31</v>
      </c>
      <c r="B28" s="106"/>
      <c r="C28" s="20" t="s">
        <v>227</v>
      </c>
      <c r="D28" s="113">
        <v>115380</v>
      </c>
      <c r="E28" s="114">
        <v>47</v>
      </c>
      <c r="F28" s="110"/>
      <c r="G28" s="108"/>
    </row>
    <row r="29" spans="1:7">
      <c r="A29" s="105" t="s">
        <v>32</v>
      </c>
      <c r="B29" s="106"/>
      <c r="C29" s="20" t="s">
        <v>228</v>
      </c>
      <c r="D29" s="113">
        <v>0</v>
      </c>
      <c r="E29" s="108" t="s">
        <v>52</v>
      </c>
      <c r="F29" s="110"/>
      <c r="G29" s="108"/>
    </row>
    <row r="30" spans="1:7">
      <c r="A30" s="105" t="s">
        <v>33</v>
      </c>
      <c r="B30" s="106"/>
      <c r="C30" s="20" t="s">
        <v>229</v>
      </c>
      <c r="D30" s="113">
        <v>2500</v>
      </c>
      <c r="E30" s="108" t="s">
        <v>52</v>
      </c>
      <c r="F30" s="110"/>
      <c r="G30" s="108"/>
    </row>
    <row r="31" spans="1:7">
      <c r="A31" s="139" t="s">
        <v>35</v>
      </c>
      <c r="B31" s="140"/>
      <c r="C31" s="126" t="s">
        <v>230</v>
      </c>
      <c r="D31" s="113">
        <v>288000</v>
      </c>
      <c r="E31" s="115" t="s">
        <v>52</v>
      </c>
      <c r="F31" s="110"/>
      <c r="G31" s="115"/>
    </row>
    <row r="32" spans="1:7" ht="24" thickBot="1">
      <c r="C32" s="116"/>
      <c r="D32" s="117">
        <f>INT(SUM(D6:D31)+SUM(E6:E31)/100)</f>
        <v>20098171</v>
      </c>
      <c r="E32" s="118">
        <f>MOD(SUM(E6:E31),100)</f>
        <v>64</v>
      </c>
      <c r="F32" s="117">
        <f>INT(SUM(F6:F31)+SUM(G6:G31)/100)</f>
        <v>20098171</v>
      </c>
      <c r="G32" s="119">
        <f>MOD(SUM(G6:G31),100)</f>
        <v>64</v>
      </c>
    </row>
    <row r="33" spans="1:8" ht="24" thickTop="1">
      <c r="C33" s="116"/>
      <c r="D33" s="120"/>
      <c r="E33" s="121"/>
      <c r="F33" s="120"/>
      <c r="G33" s="121"/>
    </row>
    <row r="34" spans="1:8">
      <c r="A34" s="145" t="s">
        <v>166</v>
      </c>
      <c r="B34" s="394" t="s">
        <v>56</v>
      </c>
      <c r="C34" s="394"/>
      <c r="D34" s="394" t="s">
        <v>57</v>
      </c>
      <c r="E34" s="394"/>
      <c r="F34" s="394"/>
      <c r="G34" s="394"/>
      <c r="H34" s="122"/>
    </row>
    <row r="35" spans="1:8">
      <c r="A35" s="145" t="s">
        <v>42</v>
      </c>
      <c r="B35" s="394" t="s">
        <v>43</v>
      </c>
      <c r="C35" s="394"/>
      <c r="D35" s="394" t="s">
        <v>44</v>
      </c>
      <c r="E35" s="394"/>
      <c r="F35" s="394"/>
      <c r="G35" s="394"/>
      <c r="H35" s="122"/>
    </row>
    <row r="36" spans="1:8">
      <c r="A36" s="145" t="s">
        <v>60</v>
      </c>
      <c r="B36" s="394" t="s">
        <v>45</v>
      </c>
      <c r="C36" s="394"/>
      <c r="D36" s="394" t="s">
        <v>46</v>
      </c>
      <c r="E36" s="394"/>
      <c r="F36" s="394"/>
      <c r="G36" s="394"/>
      <c r="H36" s="122"/>
    </row>
  </sheetData>
  <mergeCells count="13">
    <mergeCell ref="B34:C34"/>
    <mergeCell ref="D34:G34"/>
    <mergeCell ref="B35:C35"/>
    <mergeCell ref="D35:G35"/>
    <mergeCell ref="B36:C36"/>
    <mergeCell ref="D36:G36"/>
    <mergeCell ref="A1:G1"/>
    <mergeCell ref="A2:G2"/>
    <mergeCell ref="A3:G3"/>
    <mergeCell ref="A4:A5"/>
    <mergeCell ref="C4:C5"/>
    <mergeCell ref="D4:E5"/>
    <mergeCell ref="F4:G5"/>
  </mergeCells>
  <pageMargins left="0.70866141732283472" right="0.11811023622047245" top="0" bottom="0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topLeftCell="A58" workbookViewId="0">
      <selection activeCell="D16" sqref="D16"/>
    </sheetView>
  </sheetViews>
  <sheetFormatPr defaultRowHeight="21"/>
  <cols>
    <col min="1" max="1" width="5.875" style="48" customWidth="1"/>
    <col min="2" max="2" width="44.5" style="48" bestFit="1" customWidth="1"/>
    <col min="3" max="3" width="7.25" style="57" bestFit="1" customWidth="1"/>
    <col min="4" max="4" width="11.25" style="48" customWidth="1"/>
    <col min="5" max="5" width="9.75" style="48" bestFit="1" customWidth="1"/>
    <col min="6" max="6" width="10.5" style="87" bestFit="1" customWidth="1"/>
    <col min="7" max="7" width="9" style="48"/>
    <col min="8" max="8" width="9.5" style="48" bestFit="1" customWidth="1"/>
    <col min="9" max="258" width="9" style="48"/>
    <col min="259" max="259" width="44.5" style="48" customWidth="1"/>
    <col min="260" max="262" width="12.875" style="48" customWidth="1"/>
    <col min="263" max="514" width="9" style="48"/>
    <col min="515" max="515" width="44.5" style="48" customWidth="1"/>
    <col min="516" max="518" width="12.875" style="48" customWidth="1"/>
    <col min="519" max="770" width="9" style="48"/>
    <col min="771" max="771" width="44.5" style="48" customWidth="1"/>
    <col min="772" max="774" width="12.875" style="48" customWidth="1"/>
    <col min="775" max="1026" width="9" style="48"/>
    <col min="1027" max="1027" width="44.5" style="48" customWidth="1"/>
    <col min="1028" max="1030" width="12.875" style="48" customWidth="1"/>
    <col min="1031" max="1282" width="9" style="48"/>
    <col min="1283" max="1283" width="44.5" style="48" customWidth="1"/>
    <col min="1284" max="1286" width="12.875" style="48" customWidth="1"/>
    <col min="1287" max="1538" width="9" style="48"/>
    <col min="1539" max="1539" width="44.5" style="48" customWidth="1"/>
    <col min="1540" max="1542" width="12.875" style="48" customWidth="1"/>
    <col min="1543" max="1794" width="9" style="48"/>
    <col min="1795" max="1795" width="44.5" style="48" customWidth="1"/>
    <col min="1796" max="1798" width="12.875" style="48" customWidth="1"/>
    <col min="1799" max="2050" width="9" style="48"/>
    <col min="2051" max="2051" width="44.5" style="48" customWidth="1"/>
    <col min="2052" max="2054" width="12.875" style="48" customWidth="1"/>
    <col min="2055" max="2306" width="9" style="48"/>
    <col min="2307" max="2307" width="44.5" style="48" customWidth="1"/>
    <col min="2308" max="2310" width="12.875" style="48" customWidth="1"/>
    <col min="2311" max="2562" width="9" style="48"/>
    <col min="2563" max="2563" width="44.5" style="48" customWidth="1"/>
    <col min="2564" max="2566" width="12.875" style="48" customWidth="1"/>
    <col min="2567" max="2818" width="9" style="48"/>
    <col min="2819" max="2819" width="44.5" style="48" customWidth="1"/>
    <col min="2820" max="2822" width="12.875" style="48" customWidth="1"/>
    <col min="2823" max="3074" width="9" style="48"/>
    <col min="3075" max="3075" width="44.5" style="48" customWidth="1"/>
    <col min="3076" max="3078" width="12.875" style="48" customWidth="1"/>
    <col min="3079" max="3330" width="9" style="48"/>
    <col min="3331" max="3331" width="44.5" style="48" customWidth="1"/>
    <col min="3332" max="3334" width="12.875" style="48" customWidth="1"/>
    <col min="3335" max="3586" width="9" style="48"/>
    <col min="3587" max="3587" width="44.5" style="48" customWidth="1"/>
    <col min="3588" max="3590" width="12.875" style="48" customWidth="1"/>
    <col min="3591" max="3842" width="9" style="48"/>
    <col min="3843" max="3843" width="44.5" style="48" customWidth="1"/>
    <col min="3844" max="3846" width="12.875" style="48" customWidth="1"/>
    <col min="3847" max="4098" width="9" style="48"/>
    <col min="4099" max="4099" width="44.5" style="48" customWidth="1"/>
    <col min="4100" max="4102" width="12.875" style="48" customWidth="1"/>
    <col min="4103" max="4354" width="9" style="48"/>
    <col min="4355" max="4355" width="44.5" style="48" customWidth="1"/>
    <col min="4356" max="4358" width="12.875" style="48" customWidth="1"/>
    <col min="4359" max="4610" width="9" style="48"/>
    <col min="4611" max="4611" width="44.5" style="48" customWidth="1"/>
    <col min="4612" max="4614" width="12.875" style="48" customWidth="1"/>
    <col min="4615" max="4866" width="9" style="48"/>
    <col min="4867" max="4867" width="44.5" style="48" customWidth="1"/>
    <col min="4868" max="4870" width="12.875" style="48" customWidth="1"/>
    <col min="4871" max="5122" width="9" style="48"/>
    <col min="5123" max="5123" width="44.5" style="48" customWidth="1"/>
    <col min="5124" max="5126" width="12.875" style="48" customWidth="1"/>
    <col min="5127" max="5378" width="9" style="48"/>
    <col min="5379" max="5379" width="44.5" style="48" customWidth="1"/>
    <col min="5380" max="5382" width="12.875" style="48" customWidth="1"/>
    <col min="5383" max="5634" width="9" style="48"/>
    <col min="5635" max="5635" width="44.5" style="48" customWidth="1"/>
    <col min="5636" max="5638" width="12.875" style="48" customWidth="1"/>
    <col min="5639" max="5890" width="9" style="48"/>
    <col min="5891" max="5891" width="44.5" style="48" customWidth="1"/>
    <col min="5892" max="5894" width="12.875" style="48" customWidth="1"/>
    <col min="5895" max="6146" width="9" style="48"/>
    <col min="6147" max="6147" width="44.5" style="48" customWidth="1"/>
    <col min="6148" max="6150" width="12.875" style="48" customWidth="1"/>
    <col min="6151" max="6402" width="9" style="48"/>
    <col min="6403" max="6403" width="44.5" style="48" customWidth="1"/>
    <col min="6404" max="6406" width="12.875" style="48" customWidth="1"/>
    <col min="6407" max="6658" width="9" style="48"/>
    <col min="6659" max="6659" width="44.5" style="48" customWidth="1"/>
    <col min="6660" max="6662" width="12.875" style="48" customWidth="1"/>
    <col min="6663" max="6914" width="9" style="48"/>
    <col min="6915" max="6915" width="44.5" style="48" customWidth="1"/>
    <col min="6916" max="6918" width="12.875" style="48" customWidth="1"/>
    <col min="6919" max="7170" width="9" style="48"/>
    <col min="7171" max="7171" width="44.5" style="48" customWidth="1"/>
    <col min="7172" max="7174" width="12.875" style="48" customWidth="1"/>
    <col min="7175" max="7426" width="9" style="48"/>
    <col min="7427" max="7427" width="44.5" style="48" customWidth="1"/>
    <col min="7428" max="7430" width="12.875" style="48" customWidth="1"/>
    <col min="7431" max="7682" width="9" style="48"/>
    <col min="7683" max="7683" width="44.5" style="48" customWidth="1"/>
    <col min="7684" max="7686" width="12.875" style="48" customWidth="1"/>
    <col min="7687" max="7938" width="9" style="48"/>
    <col min="7939" max="7939" width="44.5" style="48" customWidth="1"/>
    <col min="7940" max="7942" width="12.875" style="48" customWidth="1"/>
    <col min="7943" max="8194" width="9" style="48"/>
    <col min="8195" max="8195" width="44.5" style="48" customWidth="1"/>
    <col min="8196" max="8198" width="12.875" style="48" customWidth="1"/>
    <col min="8199" max="8450" width="9" style="48"/>
    <col min="8451" max="8451" width="44.5" style="48" customWidth="1"/>
    <col min="8452" max="8454" width="12.875" style="48" customWidth="1"/>
    <col min="8455" max="8706" width="9" style="48"/>
    <col min="8707" max="8707" width="44.5" style="48" customWidth="1"/>
    <col min="8708" max="8710" width="12.875" style="48" customWidth="1"/>
    <col min="8711" max="8962" width="9" style="48"/>
    <col min="8963" max="8963" width="44.5" style="48" customWidth="1"/>
    <col min="8964" max="8966" width="12.875" style="48" customWidth="1"/>
    <col min="8967" max="9218" width="9" style="48"/>
    <col min="9219" max="9219" width="44.5" style="48" customWidth="1"/>
    <col min="9220" max="9222" width="12.875" style="48" customWidth="1"/>
    <col min="9223" max="9474" width="9" style="48"/>
    <col min="9475" max="9475" width="44.5" style="48" customWidth="1"/>
    <col min="9476" max="9478" width="12.875" style="48" customWidth="1"/>
    <col min="9479" max="9730" width="9" style="48"/>
    <col min="9731" max="9731" width="44.5" style="48" customWidth="1"/>
    <col min="9732" max="9734" width="12.875" style="48" customWidth="1"/>
    <col min="9735" max="9986" width="9" style="48"/>
    <col min="9987" max="9987" width="44.5" style="48" customWidth="1"/>
    <col min="9988" max="9990" width="12.875" style="48" customWidth="1"/>
    <col min="9991" max="10242" width="9" style="48"/>
    <col min="10243" max="10243" width="44.5" style="48" customWidth="1"/>
    <col min="10244" max="10246" width="12.875" style="48" customWidth="1"/>
    <col min="10247" max="10498" width="9" style="48"/>
    <col min="10499" max="10499" width="44.5" style="48" customWidth="1"/>
    <col min="10500" max="10502" width="12.875" style="48" customWidth="1"/>
    <col min="10503" max="10754" width="9" style="48"/>
    <col min="10755" max="10755" width="44.5" style="48" customWidth="1"/>
    <col min="10756" max="10758" width="12.875" style="48" customWidth="1"/>
    <col min="10759" max="11010" width="9" style="48"/>
    <col min="11011" max="11011" width="44.5" style="48" customWidth="1"/>
    <col min="11012" max="11014" width="12.875" style="48" customWidth="1"/>
    <col min="11015" max="11266" width="9" style="48"/>
    <col min="11267" max="11267" width="44.5" style="48" customWidth="1"/>
    <col min="11268" max="11270" width="12.875" style="48" customWidth="1"/>
    <col min="11271" max="11522" width="9" style="48"/>
    <col min="11523" max="11523" width="44.5" style="48" customWidth="1"/>
    <col min="11524" max="11526" width="12.875" style="48" customWidth="1"/>
    <col min="11527" max="11778" width="9" style="48"/>
    <col min="11779" max="11779" width="44.5" style="48" customWidth="1"/>
    <col min="11780" max="11782" width="12.875" style="48" customWidth="1"/>
    <col min="11783" max="12034" width="9" style="48"/>
    <col min="12035" max="12035" width="44.5" style="48" customWidth="1"/>
    <col min="12036" max="12038" width="12.875" style="48" customWidth="1"/>
    <col min="12039" max="12290" width="9" style="48"/>
    <col min="12291" max="12291" width="44.5" style="48" customWidth="1"/>
    <col min="12292" max="12294" width="12.875" style="48" customWidth="1"/>
    <col min="12295" max="12546" width="9" style="48"/>
    <col min="12547" max="12547" width="44.5" style="48" customWidth="1"/>
    <col min="12548" max="12550" width="12.875" style="48" customWidth="1"/>
    <col min="12551" max="12802" width="9" style="48"/>
    <col min="12803" max="12803" width="44.5" style="48" customWidth="1"/>
    <col min="12804" max="12806" width="12.875" style="48" customWidth="1"/>
    <col min="12807" max="13058" width="9" style="48"/>
    <col min="13059" max="13059" width="44.5" style="48" customWidth="1"/>
    <col min="13060" max="13062" width="12.875" style="48" customWidth="1"/>
    <col min="13063" max="13314" width="9" style="48"/>
    <col min="13315" max="13315" width="44.5" style="48" customWidth="1"/>
    <col min="13316" max="13318" width="12.875" style="48" customWidth="1"/>
    <col min="13319" max="13570" width="9" style="48"/>
    <col min="13571" max="13571" width="44.5" style="48" customWidth="1"/>
    <col min="13572" max="13574" width="12.875" style="48" customWidth="1"/>
    <col min="13575" max="13826" width="9" style="48"/>
    <col min="13827" max="13827" width="44.5" style="48" customWidth="1"/>
    <col min="13828" max="13830" width="12.875" style="48" customWidth="1"/>
    <col min="13831" max="14082" width="9" style="48"/>
    <col min="14083" max="14083" width="44.5" style="48" customWidth="1"/>
    <col min="14084" max="14086" width="12.875" style="48" customWidth="1"/>
    <col min="14087" max="14338" width="9" style="48"/>
    <col min="14339" max="14339" width="44.5" style="48" customWidth="1"/>
    <col min="14340" max="14342" width="12.875" style="48" customWidth="1"/>
    <col min="14343" max="14594" width="9" style="48"/>
    <col min="14595" max="14595" width="44.5" style="48" customWidth="1"/>
    <col min="14596" max="14598" width="12.875" style="48" customWidth="1"/>
    <col min="14599" max="14850" width="9" style="48"/>
    <col min="14851" max="14851" width="44.5" style="48" customWidth="1"/>
    <col min="14852" max="14854" width="12.875" style="48" customWidth="1"/>
    <col min="14855" max="15106" width="9" style="48"/>
    <col min="15107" max="15107" width="44.5" style="48" customWidth="1"/>
    <col min="15108" max="15110" width="12.875" style="48" customWidth="1"/>
    <col min="15111" max="15362" width="9" style="48"/>
    <col min="15363" max="15363" width="44.5" style="48" customWidth="1"/>
    <col min="15364" max="15366" width="12.875" style="48" customWidth="1"/>
    <col min="15367" max="15618" width="9" style="48"/>
    <col min="15619" max="15619" width="44.5" style="48" customWidth="1"/>
    <col min="15620" max="15622" width="12.875" style="48" customWidth="1"/>
    <col min="15623" max="15874" width="9" style="48"/>
    <col min="15875" max="15875" width="44.5" style="48" customWidth="1"/>
    <col min="15876" max="15878" width="12.875" style="48" customWidth="1"/>
    <col min="15879" max="16130" width="9" style="48"/>
    <col min="16131" max="16131" width="44.5" style="48" customWidth="1"/>
    <col min="16132" max="16134" width="12.875" style="48" customWidth="1"/>
    <col min="16135" max="16384" width="9" style="48"/>
  </cols>
  <sheetData>
    <row r="1" spans="1:11">
      <c r="E1" s="396" t="s">
        <v>113</v>
      </c>
      <c r="F1" s="396"/>
    </row>
    <row r="2" spans="1:11" ht="23.25">
      <c r="A2" s="397" t="s">
        <v>0</v>
      </c>
      <c r="B2" s="397"/>
      <c r="C2" s="397"/>
      <c r="D2" s="397"/>
      <c r="E2" s="397"/>
      <c r="F2" s="397"/>
      <c r="G2" s="46"/>
      <c r="H2" s="46"/>
      <c r="I2" s="46"/>
      <c r="J2" s="47"/>
      <c r="K2" s="47"/>
    </row>
    <row r="3" spans="1:11" ht="23.25">
      <c r="A3" s="397" t="s">
        <v>94</v>
      </c>
      <c r="B3" s="397"/>
      <c r="C3" s="397"/>
      <c r="D3" s="397"/>
      <c r="E3" s="397"/>
      <c r="F3" s="397"/>
      <c r="G3" s="46"/>
      <c r="H3" s="46"/>
      <c r="I3" s="46"/>
    </row>
    <row r="4" spans="1:11" ht="23.25">
      <c r="A4" s="397" t="s">
        <v>282</v>
      </c>
      <c r="B4" s="397"/>
      <c r="C4" s="397"/>
      <c r="D4" s="397"/>
      <c r="E4" s="397"/>
      <c r="F4" s="397"/>
      <c r="G4" s="46"/>
      <c r="H4" s="46"/>
      <c r="I4" s="46"/>
    </row>
    <row r="5" spans="1:11" ht="23.25">
      <c r="A5" s="398" t="s">
        <v>61</v>
      </c>
      <c r="B5" s="400" t="s">
        <v>7</v>
      </c>
      <c r="C5" s="400" t="s">
        <v>48</v>
      </c>
      <c r="D5" s="400" t="s">
        <v>5</v>
      </c>
      <c r="E5" s="402" t="s">
        <v>95</v>
      </c>
      <c r="F5" s="403"/>
      <c r="G5" s="46"/>
      <c r="H5" s="46"/>
      <c r="I5" s="46"/>
    </row>
    <row r="6" spans="1:11">
      <c r="A6" s="399"/>
      <c r="B6" s="401"/>
      <c r="C6" s="401"/>
      <c r="D6" s="401"/>
      <c r="E6" s="88" t="s">
        <v>4</v>
      </c>
      <c r="F6" s="49" t="s">
        <v>62</v>
      </c>
      <c r="G6" s="47"/>
      <c r="H6" s="47"/>
      <c r="I6" s="47"/>
      <c r="J6" s="47"/>
      <c r="K6" s="47"/>
    </row>
    <row r="7" spans="1:11">
      <c r="A7" s="90" t="s">
        <v>96</v>
      </c>
      <c r="B7" s="50"/>
      <c r="C7" s="50"/>
      <c r="D7" s="50"/>
      <c r="E7" s="89"/>
      <c r="F7" s="51"/>
      <c r="G7" s="47"/>
      <c r="H7" s="47"/>
      <c r="I7" s="47"/>
      <c r="J7" s="47"/>
      <c r="K7" s="47"/>
    </row>
    <row r="8" spans="1:11">
      <c r="A8" s="91" t="s">
        <v>97</v>
      </c>
      <c r="B8" s="50"/>
      <c r="C8" s="50"/>
      <c r="D8" s="51"/>
      <c r="E8" s="51"/>
      <c r="F8" s="52"/>
      <c r="G8" s="47"/>
      <c r="H8" s="47"/>
      <c r="I8" s="47"/>
      <c r="J8" s="47"/>
      <c r="K8" s="47"/>
    </row>
    <row r="9" spans="1:11">
      <c r="A9" s="53">
        <v>1</v>
      </c>
      <c r="B9" s="54" t="s">
        <v>63</v>
      </c>
      <c r="C9" s="53">
        <v>41100001</v>
      </c>
      <c r="D9" s="55">
        <v>70000</v>
      </c>
      <c r="E9" s="55">
        <v>0</v>
      </c>
      <c r="F9" s="56">
        <v>0</v>
      </c>
      <c r="G9" s="57"/>
      <c r="H9" s="58"/>
      <c r="I9" s="57"/>
      <c r="J9" s="57"/>
      <c r="K9" s="57"/>
    </row>
    <row r="10" spans="1:11">
      <c r="A10" s="53">
        <v>2</v>
      </c>
      <c r="B10" s="54" t="s">
        <v>64</v>
      </c>
      <c r="C10" s="53">
        <v>41100002</v>
      </c>
      <c r="D10" s="55">
        <v>80000</v>
      </c>
      <c r="E10" s="55">
        <v>1462.3</v>
      </c>
      <c r="F10" s="56">
        <f>248.1+1462.3</f>
        <v>1710.3999999999999</v>
      </c>
      <c r="G10" s="57"/>
      <c r="H10" s="58"/>
      <c r="I10" s="57"/>
      <c r="J10" s="57"/>
      <c r="K10" s="57"/>
    </row>
    <row r="11" spans="1:11">
      <c r="A11" s="53">
        <v>3</v>
      </c>
      <c r="B11" s="54" t="s">
        <v>65</v>
      </c>
      <c r="C11" s="53">
        <v>41100003</v>
      </c>
      <c r="D11" s="55">
        <v>2500</v>
      </c>
      <c r="E11" s="55">
        <v>0</v>
      </c>
      <c r="F11" s="56">
        <v>0</v>
      </c>
      <c r="G11" s="57"/>
      <c r="H11" s="58"/>
      <c r="I11" s="57"/>
      <c r="J11" s="57"/>
      <c r="K11" s="57"/>
    </row>
    <row r="12" spans="1:11">
      <c r="A12" s="54"/>
      <c r="B12" s="59"/>
      <c r="C12" s="59"/>
      <c r="D12" s="49">
        <f>SUM(D9:D11)</f>
        <v>152500</v>
      </c>
      <c r="E12" s="49">
        <f>SUM(E9:E11)</f>
        <v>1462.3</v>
      </c>
      <c r="F12" s="60">
        <f>SUM(F9:F11)</f>
        <v>1710.3999999999999</v>
      </c>
      <c r="G12" s="47"/>
      <c r="H12" s="61"/>
      <c r="I12" s="47"/>
      <c r="J12" s="47"/>
      <c r="K12" s="47"/>
    </row>
    <row r="13" spans="1:11">
      <c r="A13" s="62" t="s">
        <v>98</v>
      </c>
      <c r="B13" s="59"/>
      <c r="C13" s="77"/>
      <c r="D13" s="63"/>
      <c r="E13" s="63"/>
      <c r="F13" s="64"/>
      <c r="G13" s="47"/>
      <c r="H13" s="58"/>
      <c r="I13" s="47"/>
      <c r="J13" s="47"/>
      <c r="K13" s="47"/>
    </row>
    <row r="14" spans="1:11">
      <c r="A14" s="53">
        <v>1</v>
      </c>
      <c r="B14" s="54" t="s">
        <v>66</v>
      </c>
      <c r="C14" s="53">
        <v>41210004</v>
      </c>
      <c r="D14" s="55">
        <v>1000</v>
      </c>
      <c r="E14" s="65">
        <v>0</v>
      </c>
      <c r="F14" s="56">
        <v>0</v>
      </c>
      <c r="G14" s="57"/>
      <c r="H14" s="58"/>
      <c r="I14" s="57"/>
      <c r="J14" s="57"/>
      <c r="K14" s="57"/>
    </row>
    <row r="15" spans="1:11">
      <c r="A15" s="53">
        <v>2</v>
      </c>
      <c r="B15" s="54" t="s">
        <v>67</v>
      </c>
      <c r="C15" s="53">
        <v>4120007</v>
      </c>
      <c r="D15" s="55">
        <v>1000</v>
      </c>
      <c r="E15" s="65">
        <v>0</v>
      </c>
      <c r="F15" s="56">
        <v>44</v>
      </c>
      <c r="G15" s="57"/>
      <c r="H15" s="58"/>
      <c r="I15" s="57"/>
      <c r="J15" s="57"/>
      <c r="K15" s="57"/>
    </row>
    <row r="16" spans="1:11">
      <c r="A16" s="53">
        <v>3</v>
      </c>
      <c r="B16" s="54" t="s">
        <v>240</v>
      </c>
      <c r="C16" s="53">
        <v>41210029</v>
      </c>
      <c r="D16" s="55">
        <v>300</v>
      </c>
      <c r="E16" s="55">
        <v>50</v>
      </c>
      <c r="F16" s="56">
        <f>50+50</f>
        <v>100</v>
      </c>
      <c r="G16" s="57"/>
      <c r="H16" s="58"/>
      <c r="I16" s="57"/>
      <c r="J16" s="57"/>
      <c r="K16" s="57"/>
    </row>
    <row r="17" spans="1:11">
      <c r="A17" s="53">
        <v>4</v>
      </c>
      <c r="B17" s="54" t="s">
        <v>68</v>
      </c>
      <c r="C17" s="53">
        <v>41219999</v>
      </c>
      <c r="D17" s="55">
        <v>80000</v>
      </c>
      <c r="E17" s="55">
        <v>4275</v>
      </c>
      <c r="F17" s="56">
        <f>3245+4275</f>
        <v>7520</v>
      </c>
      <c r="G17" s="57"/>
      <c r="H17" s="58"/>
      <c r="I17" s="57"/>
      <c r="J17" s="57"/>
      <c r="K17" s="57"/>
    </row>
    <row r="18" spans="1:11">
      <c r="A18" s="53">
        <v>5</v>
      </c>
      <c r="B18" s="54" t="s">
        <v>69</v>
      </c>
      <c r="C18" s="53">
        <v>41220002</v>
      </c>
      <c r="D18" s="55">
        <v>10000</v>
      </c>
      <c r="E18" s="55">
        <v>1250</v>
      </c>
      <c r="F18" s="56">
        <v>1250</v>
      </c>
      <c r="G18" s="57"/>
      <c r="H18" s="58"/>
      <c r="I18" s="57"/>
      <c r="J18" s="57"/>
      <c r="K18" s="57"/>
    </row>
    <row r="19" spans="1:11">
      <c r="A19" s="53">
        <v>6</v>
      </c>
      <c r="B19" s="54" t="s">
        <v>70</v>
      </c>
      <c r="C19" s="53">
        <v>41220010</v>
      </c>
      <c r="D19" s="55">
        <v>10000</v>
      </c>
      <c r="E19" s="65">
        <v>0</v>
      </c>
      <c r="F19" s="56">
        <v>0</v>
      </c>
      <c r="G19" s="57"/>
      <c r="H19" s="58"/>
      <c r="I19" s="57"/>
      <c r="J19" s="57"/>
      <c r="K19" s="57"/>
    </row>
    <row r="20" spans="1:11">
      <c r="A20" s="53">
        <v>7</v>
      </c>
      <c r="B20" s="54" t="s">
        <v>241</v>
      </c>
      <c r="C20" s="53">
        <v>41220011</v>
      </c>
      <c r="D20" s="55">
        <v>100</v>
      </c>
      <c r="E20" s="55">
        <v>0</v>
      </c>
      <c r="F20" s="56">
        <v>0</v>
      </c>
      <c r="G20" s="57"/>
      <c r="H20" s="58"/>
      <c r="I20" s="57"/>
      <c r="J20" s="57"/>
      <c r="K20" s="57"/>
    </row>
    <row r="21" spans="1:11">
      <c r="A21" s="53">
        <v>8</v>
      </c>
      <c r="B21" s="54" t="s">
        <v>71</v>
      </c>
      <c r="C21" s="53">
        <v>41229999</v>
      </c>
      <c r="D21" s="55">
        <v>0</v>
      </c>
      <c r="E21" s="55">
        <v>0</v>
      </c>
      <c r="F21" s="56">
        <v>0</v>
      </c>
      <c r="G21" s="57"/>
      <c r="H21" s="61"/>
      <c r="I21" s="57"/>
      <c r="J21" s="57"/>
      <c r="K21" s="57"/>
    </row>
    <row r="22" spans="1:11">
      <c r="A22" s="53">
        <v>9</v>
      </c>
      <c r="B22" s="54" t="s">
        <v>115</v>
      </c>
      <c r="C22" s="75">
        <v>41230007</v>
      </c>
      <c r="D22" s="66">
        <v>500</v>
      </c>
      <c r="E22" s="66">
        <v>0</v>
      </c>
      <c r="F22" s="67">
        <v>20</v>
      </c>
      <c r="G22" s="57"/>
      <c r="H22" s="61"/>
      <c r="I22" s="57"/>
      <c r="J22" s="57"/>
      <c r="K22" s="57"/>
    </row>
    <row r="23" spans="1:11">
      <c r="A23" s="53">
        <v>10</v>
      </c>
      <c r="B23" s="54" t="s">
        <v>72</v>
      </c>
      <c r="C23" s="75">
        <v>41230008</v>
      </c>
      <c r="D23" s="66">
        <v>0</v>
      </c>
      <c r="E23" s="66">
        <v>0</v>
      </c>
      <c r="F23" s="67">
        <v>0</v>
      </c>
      <c r="G23" s="57"/>
      <c r="H23" s="61"/>
      <c r="I23" s="57"/>
      <c r="J23" s="57"/>
      <c r="K23" s="57"/>
    </row>
    <row r="24" spans="1:11">
      <c r="A24" s="54"/>
      <c r="B24" s="59"/>
      <c r="C24" s="59"/>
      <c r="D24" s="49">
        <f>SUM(D14:D23)</f>
        <v>102900</v>
      </c>
      <c r="E24" s="49">
        <f>SUM(E14:E23)</f>
        <v>5575</v>
      </c>
      <c r="F24" s="60">
        <f>SUM(F14:F23)</f>
        <v>8934</v>
      </c>
      <c r="G24" s="47"/>
      <c r="H24" s="61"/>
      <c r="I24" s="47"/>
      <c r="J24" s="47"/>
      <c r="K24" s="47"/>
    </row>
    <row r="25" spans="1:11">
      <c r="A25" s="62" t="s">
        <v>99</v>
      </c>
      <c r="B25" s="59"/>
      <c r="C25" s="77"/>
      <c r="D25" s="63"/>
      <c r="E25" s="63"/>
      <c r="F25" s="64"/>
      <c r="G25" s="47"/>
      <c r="H25" s="61"/>
      <c r="I25" s="47"/>
      <c r="J25" s="47"/>
      <c r="K25" s="47"/>
    </row>
    <row r="26" spans="1:11">
      <c r="A26" s="53">
        <v>1</v>
      </c>
      <c r="B26" s="54" t="s">
        <v>73</v>
      </c>
      <c r="C26" s="53">
        <v>41300003</v>
      </c>
      <c r="D26" s="68">
        <v>60000</v>
      </c>
      <c r="E26" s="68">
        <v>0</v>
      </c>
      <c r="F26" s="67">
        <v>0</v>
      </c>
      <c r="G26" s="57"/>
      <c r="H26" s="61"/>
      <c r="I26" s="57"/>
      <c r="J26" s="57"/>
      <c r="K26" s="57"/>
    </row>
    <row r="27" spans="1:11">
      <c r="A27" s="54"/>
      <c r="B27" s="59"/>
      <c r="C27" s="59"/>
      <c r="D27" s="49">
        <f>SUM(D26)</f>
        <v>60000</v>
      </c>
      <c r="E27" s="49">
        <f>SUM(E26)</f>
        <v>0</v>
      </c>
      <c r="F27" s="60">
        <f>SUM(F26)</f>
        <v>0</v>
      </c>
      <c r="G27" s="47"/>
      <c r="H27" s="61"/>
      <c r="I27" s="47"/>
      <c r="J27" s="47"/>
      <c r="K27" s="47"/>
    </row>
    <row r="28" spans="1:11">
      <c r="A28" s="62" t="s">
        <v>100</v>
      </c>
      <c r="B28" s="59"/>
      <c r="C28" s="77"/>
      <c r="D28" s="63"/>
      <c r="E28" s="63"/>
      <c r="F28" s="64"/>
      <c r="G28" s="47"/>
      <c r="H28" s="61"/>
      <c r="I28" s="47"/>
      <c r="J28" s="47"/>
      <c r="K28" s="47"/>
    </row>
    <row r="29" spans="1:11">
      <c r="A29" s="53">
        <v>1</v>
      </c>
      <c r="B29" s="54" t="s">
        <v>74</v>
      </c>
      <c r="C29" s="53">
        <v>41400006</v>
      </c>
      <c r="D29" s="68">
        <v>600000</v>
      </c>
      <c r="E29" s="68">
        <v>56352</v>
      </c>
      <c r="F29" s="67">
        <f>28596+56352</f>
        <v>84948</v>
      </c>
      <c r="G29" s="57"/>
      <c r="H29" s="61"/>
      <c r="I29" s="57"/>
      <c r="J29" s="57"/>
      <c r="K29" s="57"/>
    </row>
    <row r="30" spans="1:11">
      <c r="A30" s="69"/>
      <c r="B30" s="70"/>
      <c r="C30" s="92"/>
      <c r="D30" s="49">
        <f>SUM(D29)</f>
        <v>600000</v>
      </c>
      <c r="E30" s="49">
        <f>SUM(E29)</f>
        <v>56352</v>
      </c>
      <c r="F30" s="60">
        <f>SUM(F29)</f>
        <v>84948</v>
      </c>
      <c r="G30" s="47"/>
      <c r="H30" s="61"/>
      <c r="I30" s="47"/>
      <c r="J30" s="47"/>
      <c r="K30" s="47"/>
    </row>
    <row r="31" spans="1:11">
      <c r="A31" s="71" t="s">
        <v>101</v>
      </c>
      <c r="B31" s="72"/>
      <c r="C31" s="72"/>
      <c r="D31" s="73"/>
      <c r="E31" s="73"/>
      <c r="F31" s="74"/>
      <c r="G31" s="47"/>
      <c r="H31" s="61"/>
      <c r="I31" s="47"/>
      <c r="J31" s="47"/>
      <c r="K31" s="47"/>
    </row>
    <row r="32" spans="1:11">
      <c r="A32" s="53">
        <v>1</v>
      </c>
      <c r="B32" s="54" t="s">
        <v>75</v>
      </c>
      <c r="C32" s="75">
        <v>41500004</v>
      </c>
      <c r="D32" s="68">
        <v>50000</v>
      </c>
      <c r="E32" s="68">
        <v>0</v>
      </c>
      <c r="F32" s="67">
        <v>0</v>
      </c>
      <c r="G32" s="47"/>
      <c r="H32" s="61"/>
      <c r="I32" s="47"/>
      <c r="J32" s="47"/>
      <c r="K32" s="47"/>
    </row>
    <row r="33" spans="1:11">
      <c r="A33" s="53">
        <v>2</v>
      </c>
      <c r="B33" s="54" t="s">
        <v>76</v>
      </c>
      <c r="C33" s="53">
        <v>41599999</v>
      </c>
      <c r="D33" s="68">
        <v>0</v>
      </c>
      <c r="E33" s="68">
        <v>0</v>
      </c>
      <c r="F33" s="67">
        <v>0</v>
      </c>
      <c r="G33" s="47"/>
      <c r="H33" s="61"/>
      <c r="I33" s="47"/>
      <c r="J33" s="47"/>
      <c r="K33" s="47"/>
    </row>
    <row r="34" spans="1:11">
      <c r="A34" s="69"/>
      <c r="B34" s="70"/>
      <c r="C34" s="69"/>
      <c r="D34" s="49">
        <f>SUM(D32:D33)</f>
        <v>50000</v>
      </c>
      <c r="E34" s="49">
        <f>SUM(E32:E33)</f>
        <v>0</v>
      </c>
      <c r="F34" s="60">
        <f>SUM(F32:F33)</f>
        <v>0</v>
      </c>
      <c r="G34" s="47"/>
      <c r="H34" s="61"/>
      <c r="I34" s="47"/>
      <c r="J34" s="47"/>
      <c r="K34" s="47"/>
    </row>
    <row r="35" spans="1:11">
      <c r="A35" s="340"/>
      <c r="B35" s="341"/>
      <c r="C35" s="340"/>
      <c r="D35" s="342"/>
      <c r="E35" s="342"/>
      <c r="F35" s="343"/>
      <c r="G35" s="47"/>
      <c r="H35" s="61"/>
      <c r="I35" s="47"/>
      <c r="J35" s="47"/>
      <c r="K35" s="47"/>
    </row>
    <row r="36" spans="1:11">
      <c r="A36" s="340"/>
      <c r="B36" s="341"/>
      <c r="C36" s="340"/>
      <c r="D36" s="342"/>
      <c r="E36" s="342"/>
      <c r="F36" s="343"/>
      <c r="G36" s="47"/>
      <c r="H36" s="61"/>
      <c r="I36" s="47"/>
      <c r="J36" s="47"/>
      <c r="K36" s="47"/>
    </row>
    <row r="37" spans="1:11">
      <c r="A37" s="340"/>
      <c r="B37" s="341"/>
      <c r="C37" s="340"/>
      <c r="D37" s="342"/>
      <c r="E37" s="342"/>
      <c r="F37" s="343"/>
      <c r="G37" s="47"/>
      <c r="H37" s="61"/>
      <c r="I37" s="47"/>
      <c r="J37" s="47"/>
      <c r="K37" s="47"/>
    </row>
    <row r="38" spans="1:11">
      <c r="A38" s="340"/>
      <c r="B38" s="341"/>
      <c r="C38" s="340"/>
      <c r="D38" s="342"/>
      <c r="E38" s="342"/>
      <c r="F38" s="343"/>
      <c r="G38" s="47"/>
      <c r="H38" s="61"/>
      <c r="I38" s="47"/>
      <c r="J38" s="47"/>
      <c r="K38" s="47"/>
    </row>
    <row r="39" spans="1:11">
      <c r="A39" s="340"/>
      <c r="B39" s="341"/>
      <c r="C39" s="340"/>
      <c r="D39" s="342"/>
      <c r="E39" s="342"/>
      <c r="F39" s="343"/>
      <c r="G39" s="47"/>
      <c r="H39" s="61"/>
      <c r="I39" s="47"/>
      <c r="J39" s="47"/>
      <c r="K39" s="47"/>
    </row>
    <row r="40" spans="1:11">
      <c r="A40" s="395" t="s">
        <v>22</v>
      </c>
      <c r="B40" s="395"/>
      <c r="C40" s="395"/>
      <c r="D40" s="395"/>
      <c r="E40" s="395"/>
      <c r="F40" s="395"/>
      <c r="G40" s="47"/>
      <c r="H40" s="61"/>
      <c r="I40" s="47"/>
      <c r="J40" s="47"/>
      <c r="K40" s="47"/>
    </row>
    <row r="41" spans="1:11">
      <c r="A41" s="80" t="s">
        <v>102</v>
      </c>
      <c r="B41" s="77"/>
      <c r="C41" s="77"/>
      <c r="D41" s="63"/>
      <c r="E41" s="63"/>
      <c r="F41" s="64"/>
      <c r="G41" s="57"/>
      <c r="H41" s="58"/>
      <c r="I41" s="57"/>
      <c r="J41" s="57"/>
      <c r="K41" s="57"/>
    </row>
    <row r="42" spans="1:11">
      <c r="A42" s="53">
        <v>1</v>
      </c>
      <c r="B42" s="54" t="s">
        <v>77</v>
      </c>
      <c r="C42" s="53">
        <v>41600001</v>
      </c>
      <c r="D42" s="68">
        <v>1000</v>
      </c>
      <c r="E42" s="68">
        <v>0</v>
      </c>
      <c r="F42" s="67">
        <v>0</v>
      </c>
      <c r="G42" s="57"/>
      <c r="H42" s="58"/>
      <c r="I42" s="57"/>
      <c r="J42" s="57"/>
      <c r="K42" s="57"/>
    </row>
    <row r="43" spans="1:11">
      <c r="A43" s="53"/>
      <c r="B43" s="54"/>
      <c r="C43" s="53"/>
      <c r="D43" s="49">
        <f>SUM(D42)</f>
        <v>1000</v>
      </c>
      <c r="E43" s="49">
        <f>SUM(E42)</f>
        <v>0</v>
      </c>
      <c r="F43" s="60">
        <f>SUM(F42)</f>
        <v>0</v>
      </c>
      <c r="G43" s="57"/>
      <c r="H43" s="58"/>
      <c r="I43" s="57"/>
      <c r="J43" s="57"/>
      <c r="K43" s="57"/>
    </row>
    <row r="44" spans="1:11">
      <c r="A44" s="93"/>
      <c r="B44" s="94"/>
      <c r="C44" s="93"/>
      <c r="D44" s="339"/>
      <c r="E44" s="339"/>
      <c r="F44" s="78"/>
      <c r="G44" s="57"/>
      <c r="H44" s="58"/>
      <c r="I44" s="57"/>
      <c r="J44" s="57"/>
      <c r="K44" s="57"/>
    </row>
    <row r="45" spans="1:11">
      <c r="A45" s="95" t="s">
        <v>103</v>
      </c>
      <c r="B45" s="94"/>
      <c r="C45" s="93"/>
      <c r="D45" s="73"/>
      <c r="E45" s="73"/>
      <c r="F45" s="74"/>
      <c r="G45" s="57"/>
      <c r="H45" s="58"/>
      <c r="I45" s="57"/>
      <c r="J45" s="57"/>
      <c r="K45" s="57"/>
    </row>
    <row r="46" spans="1:11">
      <c r="A46" s="80" t="s">
        <v>104</v>
      </c>
      <c r="B46" s="77"/>
      <c r="C46" s="77"/>
      <c r="D46" s="63"/>
      <c r="E46" s="63"/>
      <c r="F46" s="64"/>
      <c r="G46" s="57"/>
      <c r="H46" s="58"/>
      <c r="I46" s="57"/>
      <c r="J46" s="57"/>
      <c r="K46" s="57"/>
    </row>
    <row r="47" spans="1:11">
      <c r="A47" s="53">
        <v>1</v>
      </c>
      <c r="B47" s="54" t="s">
        <v>242</v>
      </c>
      <c r="C47" s="53">
        <v>42100001</v>
      </c>
      <c r="D47" s="55">
        <v>400000</v>
      </c>
      <c r="E47" s="55">
        <v>79117.460000000006</v>
      </c>
      <c r="F47" s="56">
        <v>79117.460000000006</v>
      </c>
      <c r="G47" s="57"/>
      <c r="H47" s="58"/>
      <c r="I47" s="57"/>
      <c r="J47" s="57"/>
      <c r="K47" s="57"/>
    </row>
    <row r="48" spans="1:11">
      <c r="A48" s="53">
        <v>2</v>
      </c>
      <c r="B48" s="54" t="s">
        <v>78</v>
      </c>
      <c r="C48" s="53">
        <v>42100002</v>
      </c>
      <c r="D48" s="55">
        <v>7600000</v>
      </c>
      <c r="E48" s="55">
        <v>1300926.6499999999</v>
      </c>
      <c r="F48" s="56">
        <v>1300926.6499999999</v>
      </c>
      <c r="G48" s="57"/>
      <c r="H48" s="58"/>
      <c r="I48" s="57"/>
      <c r="J48" s="57"/>
      <c r="K48" s="57"/>
    </row>
    <row r="49" spans="1:11">
      <c r="A49" s="53">
        <v>3</v>
      </c>
      <c r="B49" s="54" t="s">
        <v>105</v>
      </c>
      <c r="C49" s="53">
        <v>42100004</v>
      </c>
      <c r="D49" s="55">
        <v>2500000</v>
      </c>
      <c r="E49" s="55">
        <v>286884.44</v>
      </c>
      <c r="F49" s="56">
        <v>286884.44</v>
      </c>
      <c r="G49" s="57"/>
      <c r="H49" s="58"/>
      <c r="I49" s="57"/>
      <c r="J49" s="57"/>
      <c r="K49" s="57"/>
    </row>
    <row r="50" spans="1:11">
      <c r="A50" s="53">
        <v>4</v>
      </c>
      <c r="B50" s="54" t="s">
        <v>79</v>
      </c>
      <c r="C50" s="53">
        <v>42100005</v>
      </c>
      <c r="D50" s="55">
        <v>100000</v>
      </c>
      <c r="E50" s="55">
        <v>0</v>
      </c>
      <c r="F50" s="56">
        <v>0</v>
      </c>
      <c r="G50" s="57"/>
      <c r="H50" s="58"/>
      <c r="I50" s="57"/>
      <c r="J50" s="57"/>
      <c r="K50" s="57"/>
    </row>
    <row r="51" spans="1:11">
      <c r="A51" s="53">
        <v>5</v>
      </c>
      <c r="B51" s="54" t="s">
        <v>80</v>
      </c>
      <c r="C51" s="53">
        <v>42100006</v>
      </c>
      <c r="D51" s="55">
        <v>1200000</v>
      </c>
      <c r="E51" s="55">
        <v>0</v>
      </c>
      <c r="F51" s="56">
        <v>0</v>
      </c>
      <c r="G51" s="57"/>
      <c r="H51" s="58"/>
      <c r="I51" s="57"/>
      <c r="J51" s="57"/>
      <c r="K51" s="57"/>
    </row>
    <row r="52" spans="1:11">
      <c r="A52" s="53">
        <v>6</v>
      </c>
      <c r="B52" s="54" t="s">
        <v>81</v>
      </c>
      <c r="C52" s="53">
        <v>42100007</v>
      </c>
      <c r="D52" s="55">
        <v>2400000</v>
      </c>
      <c r="E52" s="55">
        <v>594242.86</v>
      </c>
      <c r="F52" s="56">
        <v>594242.86</v>
      </c>
      <c r="G52" s="57"/>
      <c r="H52" s="58"/>
      <c r="I52" s="57"/>
      <c r="J52" s="57"/>
      <c r="K52" s="57"/>
    </row>
    <row r="53" spans="1:11">
      <c r="A53" s="53">
        <v>7</v>
      </c>
      <c r="B53" s="54" t="s">
        <v>82</v>
      </c>
      <c r="C53" s="75">
        <v>42100012</v>
      </c>
      <c r="D53" s="66">
        <v>110000</v>
      </c>
      <c r="E53" s="66">
        <v>0</v>
      </c>
      <c r="F53" s="67">
        <v>0</v>
      </c>
      <c r="G53" s="47"/>
      <c r="H53" s="58"/>
      <c r="I53" s="47"/>
      <c r="J53" s="47"/>
      <c r="K53" s="47"/>
    </row>
    <row r="54" spans="1:11">
      <c r="A54" s="53">
        <v>8</v>
      </c>
      <c r="B54" s="54" t="s">
        <v>83</v>
      </c>
      <c r="C54" s="75">
        <v>42100013</v>
      </c>
      <c r="D54" s="66">
        <v>40000</v>
      </c>
      <c r="E54" s="66">
        <v>7052.47</v>
      </c>
      <c r="F54" s="67">
        <v>7052.47</v>
      </c>
      <c r="G54" s="47"/>
      <c r="H54" s="61"/>
      <c r="I54" s="47"/>
      <c r="J54" s="47"/>
      <c r="K54" s="47"/>
    </row>
    <row r="55" spans="1:11">
      <c r="A55" s="53">
        <v>9</v>
      </c>
      <c r="B55" s="54" t="s">
        <v>106</v>
      </c>
      <c r="C55" s="75">
        <v>42100015</v>
      </c>
      <c r="D55" s="66">
        <v>540000</v>
      </c>
      <c r="E55" s="66">
        <v>32736</v>
      </c>
      <c r="F55" s="67">
        <f>47628+32736</f>
        <v>80364</v>
      </c>
      <c r="G55" s="47"/>
      <c r="H55" s="58"/>
      <c r="I55" s="47"/>
      <c r="J55" s="47"/>
      <c r="K55" s="47"/>
    </row>
    <row r="56" spans="1:11">
      <c r="A56" s="53">
        <v>10</v>
      </c>
      <c r="B56" s="54" t="s">
        <v>84</v>
      </c>
      <c r="C56" s="75">
        <v>42199999</v>
      </c>
      <c r="D56" s="66">
        <v>0</v>
      </c>
      <c r="E56" s="66">
        <v>0</v>
      </c>
      <c r="F56" s="67">
        <v>0</v>
      </c>
      <c r="G56" s="57"/>
      <c r="H56" s="61"/>
      <c r="I56" s="57"/>
      <c r="J56" s="57"/>
      <c r="K56" s="57"/>
    </row>
    <row r="57" spans="1:11">
      <c r="A57" s="54"/>
      <c r="B57" s="59"/>
      <c r="C57" s="59"/>
      <c r="D57" s="49">
        <f>SUM(D47:D56)</f>
        <v>14890000</v>
      </c>
      <c r="E57" s="49">
        <f>SUM(E47:E56)</f>
        <v>2300959.88</v>
      </c>
      <c r="F57" s="60">
        <f>SUM(F47:F56)</f>
        <v>2348587.88</v>
      </c>
      <c r="G57" s="47"/>
      <c r="H57" s="58"/>
      <c r="I57" s="47"/>
      <c r="J57" s="47"/>
      <c r="K57" s="47"/>
    </row>
    <row r="58" spans="1:11">
      <c r="A58" s="62" t="s">
        <v>19</v>
      </c>
      <c r="B58" s="59"/>
      <c r="C58" s="77"/>
      <c r="D58" s="77"/>
      <c r="E58" s="77"/>
      <c r="F58" s="78"/>
      <c r="G58" s="57"/>
      <c r="H58" s="61"/>
      <c r="I58" s="57"/>
      <c r="J58" s="57"/>
      <c r="K58" s="57"/>
    </row>
    <row r="59" spans="1:11">
      <c r="A59" s="53">
        <v>1</v>
      </c>
      <c r="B59" s="54" t="s">
        <v>85</v>
      </c>
      <c r="C59" s="75">
        <v>43100002</v>
      </c>
      <c r="D59" s="66">
        <v>20000000</v>
      </c>
      <c r="E59" s="66">
        <v>5410196</v>
      </c>
      <c r="F59" s="67">
        <v>5410196</v>
      </c>
      <c r="G59" s="57"/>
      <c r="H59" s="61"/>
      <c r="I59" s="57"/>
      <c r="J59" s="57"/>
      <c r="K59" s="57"/>
    </row>
    <row r="60" spans="1:11">
      <c r="A60" s="75"/>
      <c r="B60" s="76"/>
      <c r="C60" s="75"/>
      <c r="D60" s="79">
        <f>SUM(D59)</f>
        <v>20000000</v>
      </c>
      <c r="E60" s="79">
        <f>SUM(E59)</f>
        <v>5410196</v>
      </c>
      <c r="F60" s="60">
        <f>SUM(F59)</f>
        <v>5410196</v>
      </c>
      <c r="G60" s="57"/>
      <c r="H60" s="61"/>
      <c r="I60" s="57"/>
      <c r="J60" s="57"/>
      <c r="K60" s="57"/>
    </row>
    <row r="61" spans="1:11">
      <c r="A61" s="71" t="s">
        <v>86</v>
      </c>
      <c r="B61" s="72"/>
      <c r="C61" s="72"/>
      <c r="D61" s="72"/>
      <c r="E61" s="72"/>
      <c r="F61" s="74"/>
      <c r="G61" s="57"/>
      <c r="H61" s="61"/>
      <c r="I61" s="57"/>
      <c r="J61" s="57"/>
      <c r="K61" s="57"/>
    </row>
    <row r="62" spans="1:11">
      <c r="A62" s="53">
        <v>1</v>
      </c>
      <c r="B62" s="54" t="s">
        <v>247</v>
      </c>
      <c r="C62" s="75">
        <v>44100001</v>
      </c>
      <c r="D62" s="66"/>
      <c r="E62" s="66">
        <v>0</v>
      </c>
      <c r="F62" s="56">
        <v>0</v>
      </c>
      <c r="G62" s="47"/>
      <c r="H62" s="61"/>
      <c r="I62" s="47"/>
      <c r="J62" s="47"/>
      <c r="K62" s="47"/>
    </row>
    <row r="63" spans="1:11">
      <c r="A63" s="53">
        <v>2</v>
      </c>
      <c r="B63" s="54" t="s">
        <v>262</v>
      </c>
      <c r="C63" s="75">
        <v>44100002</v>
      </c>
      <c r="D63" s="66"/>
      <c r="E63" s="66">
        <v>0</v>
      </c>
      <c r="F63" s="56">
        <v>0</v>
      </c>
      <c r="G63" s="47"/>
      <c r="H63" s="61"/>
      <c r="I63" s="47"/>
      <c r="J63" s="47"/>
      <c r="K63" s="47"/>
    </row>
    <row r="64" spans="1:11">
      <c r="A64" s="53"/>
      <c r="B64" s="54"/>
      <c r="C64" s="75"/>
      <c r="D64" s="66"/>
      <c r="E64" s="66"/>
      <c r="F64" s="56"/>
      <c r="G64" s="47"/>
      <c r="H64" s="61"/>
      <c r="I64" s="47"/>
      <c r="J64" s="47"/>
      <c r="K64" s="47"/>
    </row>
    <row r="65" spans="1:11">
      <c r="A65" s="53"/>
      <c r="B65" s="54"/>
      <c r="C65" s="75"/>
      <c r="D65" s="66"/>
      <c r="E65" s="66"/>
      <c r="F65" s="56"/>
      <c r="G65" s="47"/>
      <c r="H65" s="61"/>
      <c r="I65" s="47"/>
      <c r="J65" s="47"/>
      <c r="K65" s="47"/>
    </row>
    <row r="66" spans="1:11">
      <c r="A66" s="53"/>
      <c r="B66" s="54"/>
      <c r="C66" s="75"/>
      <c r="D66" s="66"/>
      <c r="E66" s="66"/>
      <c r="F66" s="56"/>
      <c r="G66" s="47"/>
      <c r="H66" s="61"/>
      <c r="I66" s="47"/>
      <c r="J66" s="47"/>
      <c r="K66" s="47"/>
    </row>
    <row r="67" spans="1:11">
      <c r="A67" s="53"/>
      <c r="B67" s="54"/>
      <c r="C67" s="75"/>
      <c r="D67" s="66"/>
      <c r="E67" s="66"/>
      <c r="F67" s="56"/>
      <c r="G67" s="47"/>
      <c r="H67" s="61"/>
      <c r="I67" s="47"/>
      <c r="J67" s="47"/>
      <c r="K67" s="47"/>
    </row>
    <row r="68" spans="1:11" ht="18.75" customHeight="1">
      <c r="A68" s="54"/>
      <c r="B68" s="59" t="s">
        <v>109</v>
      </c>
      <c r="C68" s="59"/>
      <c r="D68" s="81">
        <f>SUM(D62:D67)</f>
        <v>0</v>
      </c>
      <c r="E68" s="81">
        <f t="shared" ref="E68:F68" si="0">SUM(E62:E67)</f>
        <v>0</v>
      </c>
      <c r="F68" s="81">
        <f t="shared" si="0"/>
        <v>0</v>
      </c>
      <c r="G68" s="47"/>
      <c r="H68" s="61"/>
      <c r="I68" s="47"/>
      <c r="J68" s="47"/>
      <c r="K68" s="47"/>
    </row>
    <row r="69" spans="1:11" ht="21.75" thickBot="1">
      <c r="A69" s="82"/>
      <c r="B69" s="142" t="s">
        <v>110</v>
      </c>
      <c r="C69" s="96"/>
      <c r="D69" s="83">
        <f>SUM(D12+D24+D27+D30+D34+D43+D57+D60+D68)</f>
        <v>35856400</v>
      </c>
      <c r="E69" s="83">
        <f>SUM(E12+E24+E27+E30+E34+E43+E57+E60+E68)</f>
        <v>7774545.1799999997</v>
      </c>
      <c r="F69" s="83">
        <f>SUM(F12+F24+F27+F30+F34+F43+F57+F60+F68)</f>
        <v>7854376.2799999993</v>
      </c>
      <c r="G69" s="47"/>
      <c r="H69" s="61"/>
      <c r="I69" s="47"/>
      <c r="J69" s="47"/>
      <c r="K69" s="47"/>
    </row>
    <row r="70" spans="1:11" ht="12" customHeight="1" thickTop="1">
      <c r="A70" s="141"/>
      <c r="B70" s="141"/>
      <c r="C70" s="141"/>
      <c r="D70" s="141"/>
      <c r="E70" s="141"/>
      <c r="F70" s="141"/>
      <c r="G70" s="57"/>
    </row>
    <row r="71" spans="1:11" ht="6.75" customHeight="1">
      <c r="A71" s="84"/>
      <c r="B71" s="86"/>
      <c r="C71" s="141"/>
      <c r="D71" s="141"/>
      <c r="E71" s="86"/>
      <c r="F71" s="85"/>
      <c r="G71" s="46"/>
      <c r="H71" s="46"/>
      <c r="I71" s="46"/>
    </row>
  </sheetData>
  <mergeCells count="10">
    <mergeCell ref="A40:F40"/>
    <mergeCell ref="E1:F1"/>
    <mergeCell ref="A2:F2"/>
    <mergeCell ref="A3:F3"/>
    <mergeCell ref="A4:F4"/>
    <mergeCell ref="A5:A6"/>
    <mergeCell ref="B5:B6"/>
    <mergeCell ref="C5:C6"/>
    <mergeCell ref="D5:D6"/>
    <mergeCell ref="E5:F5"/>
  </mergeCells>
  <pageMargins left="0.51181102362204722" right="0.23622047244094491" top="0.19685039370078741" bottom="0" header="0.74803149606299213" footer="0.74803149606299213"/>
  <pageSetup paperSize="9" scale="98" orientation="portrait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topLeftCell="A28" workbookViewId="0">
      <selection activeCell="B31" sqref="B31"/>
    </sheetView>
  </sheetViews>
  <sheetFormatPr defaultRowHeight="19.5"/>
  <cols>
    <col min="1" max="1" width="6" style="137" customWidth="1"/>
    <col min="2" max="2" width="42.5" style="137" customWidth="1"/>
    <col min="3" max="5" width="12.625" style="137" customWidth="1"/>
    <col min="6" max="16384" width="9" style="137"/>
  </cols>
  <sheetData>
    <row r="1" spans="1:5" s="127" customFormat="1" ht="23.25">
      <c r="A1" s="404" t="s">
        <v>87</v>
      </c>
      <c r="B1" s="404"/>
      <c r="C1" s="404"/>
      <c r="D1" s="404"/>
      <c r="E1" s="404"/>
    </row>
    <row r="2" spans="1:5" s="127" customFormat="1" ht="23.25">
      <c r="A2" s="385" t="s">
        <v>0</v>
      </c>
      <c r="B2" s="385"/>
      <c r="C2" s="385"/>
      <c r="D2" s="385"/>
      <c r="E2" s="385"/>
    </row>
    <row r="3" spans="1:5" s="97" customFormat="1" ht="23.25">
      <c r="A3" s="385" t="s">
        <v>107</v>
      </c>
      <c r="B3" s="385"/>
      <c r="C3" s="385"/>
      <c r="D3" s="385"/>
      <c r="E3" s="385"/>
    </row>
    <row r="4" spans="1:5" s="97" customFormat="1" ht="23.25">
      <c r="A4" s="385" t="s">
        <v>283</v>
      </c>
      <c r="B4" s="385"/>
      <c r="C4" s="385"/>
      <c r="D4" s="385"/>
      <c r="E4" s="385"/>
    </row>
    <row r="5" spans="1:5" s="97" customFormat="1" ht="23.25">
      <c r="A5" s="375" t="s">
        <v>88</v>
      </c>
      <c r="B5" s="375"/>
      <c r="C5" s="375"/>
      <c r="D5" s="375"/>
      <c r="E5" s="375"/>
    </row>
    <row r="6" spans="1:5" s="97" customFormat="1" ht="23.25">
      <c r="A6" s="33" t="s">
        <v>61</v>
      </c>
      <c r="B6" s="33" t="s">
        <v>7</v>
      </c>
      <c r="C6" s="216" t="s">
        <v>187</v>
      </c>
      <c r="D6" s="216" t="s">
        <v>188</v>
      </c>
      <c r="E6" s="128" t="s">
        <v>89</v>
      </c>
    </row>
    <row r="7" spans="1:5" s="97" customFormat="1" ht="23.25">
      <c r="A7" s="43">
        <v>1</v>
      </c>
      <c r="B7" s="123" t="s">
        <v>90</v>
      </c>
      <c r="C7" s="336">
        <v>1815.64</v>
      </c>
      <c r="D7" s="336">
        <v>67.3</v>
      </c>
      <c r="E7" s="129">
        <v>1815.64</v>
      </c>
    </row>
    <row r="8" spans="1:5" s="97" customFormat="1" ht="23.25">
      <c r="A8" s="130">
        <v>2</v>
      </c>
      <c r="B8" s="124" t="s">
        <v>91</v>
      </c>
      <c r="C8" s="131">
        <v>0</v>
      </c>
      <c r="D8" s="131">
        <v>0</v>
      </c>
      <c r="E8" s="132">
        <v>407175</v>
      </c>
    </row>
    <row r="9" spans="1:5" s="97" customFormat="1" ht="23.25">
      <c r="A9" s="43">
        <v>3</v>
      </c>
      <c r="B9" s="310" t="s">
        <v>92</v>
      </c>
      <c r="C9" s="337">
        <v>0</v>
      </c>
      <c r="D9" s="337">
        <v>0</v>
      </c>
      <c r="E9" s="311">
        <v>1091437.72</v>
      </c>
    </row>
    <row r="10" spans="1:5" s="97" customFormat="1" ht="23.25">
      <c r="A10" s="43">
        <v>4</v>
      </c>
      <c r="B10" s="124" t="s">
        <v>93</v>
      </c>
      <c r="C10" s="131">
        <v>69934</v>
      </c>
      <c r="D10" s="131">
        <v>69934</v>
      </c>
      <c r="E10" s="132">
        <v>0</v>
      </c>
    </row>
    <row r="11" spans="1:5" s="97" customFormat="1" ht="23.25">
      <c r="A11" s="43">
        <v>5</v>
      </c>
      <c r="B11" s="124" t="s">
        <v>116</v>
      </c>
      <c r="C11" s="131">
        <v>94300</v>
      </c>
      <c r="D11" s="131">
        <v>94300</v>
      </c>
      <c r="E11" s="132">
        <v>0</v>
      </c>
    </row>
    <row r="12" spans="1:5" s="97" customFormat="1" ht="23.25">
      <c r="A12" s="43">
        <v>6</v>
      </c>
      <c r="B12" s="124" t="s">
        <v>245</v>
      </c>
      <c r="C12" s="131">
        <v>1900</v>
      </c>
      <c r="D12" s="131">
        <v>1900</v>
      </c>
      <c r="E12" s="132">
        <v>0</v>
      </c>
    </row>
    <row r="13" spans="1:5" s="97" customFormat="1" ht="23.25">
      <c r="A13" s="43">
        <v>7</v>
      </c>
      <c r="B13" s="124" t="s">
        <v>111</v>
      </c>
      <c r="C13" s="131">
        <v>14043</v>
      </c>
      <c r="D13" s="131">
        <v>10085</v>
      </c>
      <c r="E13" s="132">
        <v>14043</v>
      </c>
    </row>
    <row r="14" spans="1:5" s="97" customFormat="1" ht="23.25">
      <c r="A14" s="43">
        <v>8</v>
      </c>
      <c r="B14" s="124" t="s">
        <v>169</v>
      </c>
      <c r="C14" s="131">
        <v>21544</v>
      </c>
      <c r="D14" s="131">
        <v>21544</v>
      </c>
      <c r="E14" s="132">
        <v>0</v>
      </c>
    </row>
    <row r="15" spans="1:5" s="97" customFormat="1" ht="23.25">
      <c r="A15" s="43">
        <v>9</v>
      </c>
      <c r="B15" s="124" t="s">
        <v>273</v>
      </c>
      <c r="C15" s="131">
        <v>0</v>
      </c>
      <c r="D15" s="131">
        <v>0</v>
      </c>
      <c r="E15" s="132">
        <v>2050</v>
      </c>
    </row>
    <row r="16" spans="1:5" s="97" customFormat="1" ht="23.25">
      <c r="A16" s="43">
        <v>10</v>
      </c>
      <c r="B16" s="124" t="s">
        <v>276</v>
      </c>
      <c r="C16" s="131">
        <v>0</v>
      </c>
      <c r="D16" s="131">
        <v>0</v>
      </c>
      <c r="E16" s="132">
        <v>600</v>
      </c>
    </row>
    <row r="17" spans="1:5" s="97" customFormat="1" ht="23.25">
      <c r="A17" s="43">
        <v>11</v>
      </c>
      <c r="B17" s="124" t="s">
        <v>209</v>
      </c>
      <c r="C17" s="131">
        <v>0</v>
      </c>
      <c r="D17" s="131">
        <v>0</v>
      </c>
      <c r="E17" s="132">
        <v>264344</v>
      </c>
    </row>
    <row r="18" spans="1:5" s="97" customFormat="1" ht="23.25">
      <c r="A18" s="43">
        <v>12</v>
      </c>
      <c r="B18" s="124" t="s">
        <v>246</v>
      </c>
      <c r="C18" s="131">
        <v>0</v>
      </c>
      <c r="D18" s="131">
        <v>0</v>
      </c>
      <c r="E18" s="132">
        <v>75350</v>
      </c>
    </row>
    <row r="19" spans="1:5" s="97" customFormat="1" ht="23.25">
      <c r="A19" s="43">
        <v>13</v>
      </c>
      <c r="B19" s="124" t="s">
        <v>263</v>
      </c>
      <c r="C19" s="131">
        <v>0</v>
      </c>
      <c r="D19" s="131">
        <v>0</v>
      </c>
      <c r="E19" s="132">
        <v>790</v>
      </c>
    </row>
    <row r="20" spans="1:5" s="97" customFormat="1" ht="23.25">
      <c r="A20" s="43">
        <v>14</v>
      </c>
      <c r="B20" s="124" t="s">
        <v>264</v>
      </c>
      <c r="C20" s="131">
        <v>0</v>
      </c>
      <c r="D20" s="131">
        <v>0</v>
      </c>
      <c r="E20" s="132">
        <v>2725</v>
      </c>
    </row>
    <row r="21" spans="1:5" s="97" customFormat="1" ht="23.25">
      <c r="A21" s="43">
        <v>15</v>
      </c>
      <c r="B21" s="124" t="s">
        <v>265</v>
      </c>
      <c r="C21" s="131">
        <v>0</v>
      </c>
      <c r="D21" s="131">
        <v>0</v>
      </c>
      <c r="E21" s="132">
        <v>960</v>
      </c>
    </row>
    <row r="22" spans="1:5" s="97" customFormat="1" ht="23.25">
      <c r="A22" s="43">
        <v>16</v>
      </c>
      <c r="B22" s="124" t="s">
        <v>266</v>
      </c>
      <c r="C22" s="131">
        <v>0</v>
      </c>
      <c r="D22" s="131">
        <v>0</v>
      </c>
      <c r="E22" s="132">
        <v>1961.77</v>
      </c>
    </row>
    <row r="23" spans="1:5" s="97" customFormat="1" ht="23.25">
      <c r="A23" s="43">
        <v>17</v>
      </c>
      <c r="B23" s="124" t="s">
        <v>267</v>
      </c>
      <c r="C23" s="131">
        <v>0</v>
      </c>
      <c r="D23" s="131">
        <v>0</v>
      </c>
      <c r="E23" s="132">
        <v>14000</v>
      </c>
    </row>
    <row r="24" spans="1:5" s="97" customFormat="1" ht="23.25">
      <c r="A24" s="43">
        <v>18</v>
      </c>
      <c r="B24" s="124" t="s">
        <v>268</v>
      </c>
      <c r="C24" s="131">
        <v>0</v>
      </c>
      <c r="D24" s="131">
        <v>0</v>
      </c>
      <c r="E24" s="132">
        <v>5000</v>
      </c>
    </row>
    <row r="25" spans="1:5" s="97" customFormat="1" ht="23.25">
      <c r="A25" s="43">
        <v>19</v>
      </c>
      <c r="B25" s="124" t="s">
        <v>269</v>
      </c>
      <c r="C25" s="131">
        <v>0</v>
      </c>
      <c r="D25" s="131">
        <v>0</v>
      </c>
      <c r="E25" s="132">
        <v>48000</v>
      </c>
    </row>
    <row r="26" spans="1:5" s="97" customFormat="1" ht="23.25">
      <c r="A26" s="43">
        <v>20</v>
      </c>
      <c r="B26" s="124" t="s">
        <v>286</v>
      </c>
      <c r="C26" s="131">
        <v>0</v>
      </c>
      <c r="D26" s="131">
        <v>0</v>
      </c>
      <c r="E26" s="132">
        <v>10000</v>
      </c>
    </row>
    <row r="27" spans="1:5" s="97" customFormat="1" ht="23.25">
      <c r="A27" s="43">
        <v>20</v>
      </c>
      <c r="B27" s="124" t="s">
        <v>284</v>
      </c>
      <c r="C27" s="131">
        <v>12534</v>
      </c>
      <c r="D27" s="131">
        <v>0</v>
      </c>
      <c r="E27" s="132">
        <v>12534</v>
      </c>
    </row>
    <row r="28" spans="1:5" s="97" customFormat="1" ht="23.25">
      <c r="A28" s="334"/>
      <c r="B28" s="125"/>
      <c r="C28" s="133"/>
      <c r="D28" s="133"/>
      <c r="E28" s="335"/>
    </row>
    <row r="29" spans="1:5" s="97" customFormat="1" ht="24" thickBot="1">
      <c r="C29" s="134">
        <f>SUM(C7:C28)</f>
        <v>216070.64</v>
      </c>
      <c r="D29" s="134">
        <f>SUM(D7:D28)</f>
        <v>197830.3</v>
      </c>
      <c r="E29" s="134">
        <f>SUM(E7:E28)</f>
        <v>1952786.13</v>
      </c>
    </row>
    <row r="30" spans="1:5" s="97" customFormat="1" ht="24" thickTop="1">
      <c r="C30" s="135"/>
      <c r="D30" s="135"/>
      <c r="E30" s="136"/>
    </row>
    <row r="31" spans="1:5" s="97" customFormat="1" ht="23.25">
      <c r="C31" s="135"/>
      <c r="D31" s="135"/>
      <c r="E31" s="136"/>
    </row>
    <row r="32" spans="1:5" s="97" customFormat="1" ht="23.25">
      <c r="C32" s="135"/>
      <c r="D32" s="135"/>
      <c r="E32" s="136"/>
    </row>
    <row r="33" spans="3:5" s="97" customFormat="1" ht="23.25">
      <c r="C33" s="135"/>
      <c r="D33" s="135"/>
      <c r="E33" s="136"/>
    </row>
    <row r="34" spans="3:5" s="97" customFormat="1" ht="23.25">
      <c r="C34" s="135"/>
      <c r="D34" s="135"/>
      <c r="E34" s="136"/>
    </row>
    <row r="35" spans="3:5" s="97" customFormat="1" ht="23.25">
      <c r="C35" s="135"/>
      <c r="D35" s="135"/>
      <c r="E35" s="136"/>
    </row>
  </sheetData>
  <mergeCells count="5">
    <mergeCell ref="A1:E1"/>
    <mergeCell ref="A3:E3"/>
    <mergeCell ref="A4:E4"/>
    <mergeCell ref="A5:E5"/>
    <mergeCell ref="A2:E2"/>
  </mergeCells>
  <pageMargins left="0.51181102362204722" right="0.31496062992125984" top="0.55118110236220474" bottom="0.55118110236220474" header="0.31496062992125984" footer="0.31496062992125984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F12"/>
  <sheetViews>
    <sheetView workbookViewId="0">
      <selection activeCell="C9" sqref="C9"/>
    </sheetView>
  </sheetViews>
  <sheetFormatPr defaultRowHeight="23.25"/>
  <cols>
    <col min="1" max="1" width="40.125" style="152" customWidth="1"/>
    <col min="2" max="2" width="18.5" style="152" customWidth="1"/>
    <col min="3" max="3" width="18.25" style="152" customWidth="1"/>
    <col min="4" max="5" width="18.5" style="152" customWidth="1"/>
    <col min="6" max="6" width="14" style="152" customWidth="1"/>
    <col min="7" max="16384" width="9" style="152"/>
  </cols>
  <sheetData>
    <row r="1" spans="1:6" s="148" customFormat="1">
      <c r="A1" s="404" t="s">
        <v>176</v>
      </c>
      <c r="B1" s="404"/>
      <c r="C1" s="404"/>
      <c r="D1" s="147"/>
      <c r="E1" s="147"/>
      <c r="F1" s="147"/>
    </row>
    <row r="2" spans="1:6" s="148" customFormat="1">
      <c r="A2" s="385" t="s">
        <v>0</v>
      </c>
      <c r="B2" s="385"/>
      <c r="C2" s="385"/>
      <c r="D2" s="147"/>
      <c r="E2" s="147"/>
      <c r="F2" s="147"/>
    </row>
    <row r="3" spans="1:6" s="149" customFormat="1">
      <c r="A3" s="385" t="s">
        <v>107</v>
      </c>
      <c r="B3" s="385"/>
      <c r="C3" s="385"/>
      <c r="D3" s="147"/>
      <c r="E3" s="147"/>
      <c r="F3" s="147"/>
    </row>
    <row r="4" spans="1:6" s="149" customFormat="1">
      <c r="A4" s="385" t="s">
        <v>272</v>
      </c>
      <c r="B4" s="385"/>
      <c r="C4" s="385"/>
      <c r="D4" s="147"/>
      <c r="E4" s="147"/>
      <c r="F4" s="147"/>
    </row>
    <row r="5" spans="1:6" s="149" customFormat="1">
      <c r="A5" s="364" t="s">
        <v>172</v>
      </c>
      <c r="B5" s="364"/>
      <c r="C5" s="364"/>
      <c r="D5" s="150"/>
      <c r="E5" s="150"/>
      <c r="F5" s="150"/>
    </row>
    <row r="6" spans="1:6">
      <c r="A6" s="151" t="s">
        <v>7</v>
      </c>
      <c r="B6" s="151" t="s">
        <v>4</v>
      </c>
      <c r="C6" s="151" t="s">
        <v>62</v>
      </c>
    </row>
    <row r="7" spans="1:6">
      <c r="A7" s="153" t="s">
        <v>173</v>
      </c>
      <c r="B7" s="154"/>
      <c r="C7" s="154"/>
    </row>
    <row r="8" spans="1:6">
      <c r="A8" s="154" t="s">
        <v>174</v>
      </c>
      <c r="B8" s="155">
        <v>1190143.96</v>
      </c>
      <c r="C8" s="156">
        <f>7912754.59+810153+819980.05+436349.05+1190143.96</f>
        <v>11169380.650000002</v>
      </c>
    </row>
    <row r="9" spans="1:6">
      <c r="A9" s="154" t="s">
        <v>175</v>
      </c>
      <c r="B9" s="155">
        <v>0</v>
      </c>
      <c r="C9" s="156">
        <v>107850</v>
      </c>
    </row>
    <row r="10" spans="1:6">
      <c r="A10" s="154"/>
      <c r="B10" s="156"/>
      <c r="C10" s="156"/>
    </row>
    <row r="11" spans="1:6" s="158" customFormat="1" ht="24" thickBot="1">
      <c r="A11" s="159" t="s">
        <v>109</v>
      </c>
      <c r="B11" s="157">
        <f>SUM(B8:B10)</f>
        <v>1190143.96</v>
      </c>
      <c r="C11" s="157">
        <f>SUM(C8:C10)</f>
        <v>11277230.650000002</v>
      </c>
    </row>
    <row r="12" spans="1:6" ht="24" thickTop="1"/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55118110236220474" bottom="0.35433070866141736" header="0.31496062992125984" footer="0.31496062992125984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SheetLayoutView="100" workbookViewId="0">
      <selection activeCell="D15" sqref="D14:D15"/>
    </sheetView>
  </sheetViews>
  <sheetFormatPr defaultRowHeight="21.75"/>
  <cols>
    <col min="1" max="1" width="11.25" style="313" customWidth="1"/>
    <col min="2" max="2" width="9" style="313"/>
    <col min="3" max="3" width="4.75" style="313" customWidth="1"/>
    <col min="4" max="4" width="9.75" style="313" customWidth="1"/>
    <col min="5" max="5" width="6.25" style="313" customWidth="1"/>
    <col min="6" max="6" width="5.875" style="313" customWidth="1"/>
    <col min="7" max="7" width="11.5" style="313" bestFit="1" customWidth="1"/>
    <col min="8" max="8" width="6.625" style="313" customWidth="1"/>
    <col min="9" max="9" width="15.125" style="313" hidden="1" customWidth="1"/>
    <col min="10" max="10" width="12.5" style="313" hidden="1" customWidth="1"/>
    <col min="11" max="11" width="9.375" style="313" hidden="1" customWidth="1"/>
    <col min="12" max="12" width="13.625" style="313" customWidth="1"/>
    <col min="13" max="13" width="5" style="313" customWidth="1"/>
    <col min="14" max="14" width="6.375" style="313" customWidth="1"/>
    <col min="15" max="15" width="8" style="313" hidden="1" customWidth="1"/>
    <col min="16" max="16" width="4.25" style="313" customWidth="1"/>
    <col min="17" max="17" width="9.125" style="313" bestFit="1" customWidth="1"/>
    <col min="18" max="256" width="9" style="313"/>
    <col min="257" max="257" width="11.25" style="313" customWidth="1"/>
    <col min="258" max="258" width="9" style="313"/>
    <col min="259" max="259" width="4.75" style="313" customWidth="1"/>
    <col min="260" max="260" width="9.75" style="313" customWidth="1"/>
    <col min="261" max="261" width="9" style="313"/>
    <col min="262" max="262" width="5.875" style="313" customWidth="1"/>
    <col min="263" max="263" width="11.5" style="313" bestFit="1" customWidth="1"/>
    <col min="264" max="264" width="7" style="313" customWidth="1"/>
    <col min="265" max="267" width="0" style="313" hidden="1" customWidth="1"/>
    <col min="268" max="268" width="11" style="313" customWidth="1"/>
    <col min="269" max="269" width="5" style="313" customWidth="1"/>
    <col min="270" max="270" width="6.375" style="313" customWidth="1"/>
    <col min="271" max="271" width="0" style="313" hidden="1" customWidth="1"/>
    <col min="272" max="272" width="4.25" style="313" customWidth="1"/>
    <col min="273" max="273" width="9.125" style="313" bestFit="1" customWidth="1"/>
    <col min="274" max="512" width="9" style="313"/>
    <col min="513" max="513" width="11.25" style="313" customWidth="1"/>
    <col min="514" max="514" width="9" style="313"/>
    <col min="515" max="515" width="4.75" style="313" customWidth="1"/>
    <col min="516" max="516" width="9.75" style="313" customWidth="1"/>
    <col min="517" max="517" width="9" style="313"/>
    <col min="518" max="518" width="5.875" style="313" customWidth="1"/>
    <col min="519" max="519" width="11.5" style="313" bestFit="1" customWidth="1"/>
    <col min="520" max="520" width="7" style="313" customWidth="1"/>
    <col min="521" max="523" width="0" style="313" hidden="1" customWidth="1"/>
    <col min="524" max="524" width="11" style="313" customWidth="1"/>
    <col min="525" max="525" width="5" style="313" customWidth="1"/>
    <col min="526" max="526" width="6.375" style="313" customWidth="1"/>
    <col min="527" max="527" width="0" style="313" hidden="1" customWidth="1"/>
    <col min="528" max="528" width="4.25" style="313" customWidth="1"/>
    <col min="529" max="529" width="9.125" style="313" bestFit="1" customWidth="1"/>
    <col min="530" max="768" width="9" style="313"/>
    <col min="769" max="769" width="11.25" style="313" customWidth="1"/>
    <col min="770" max="770" width="9" style="313"/>
    <col min="771" max="771" width="4.75" style="313" customWidth="1"/>
    <col min="772" max="772" width="9.75" style="313" customWidth="1"/>
    <col min="773" max="773" width="9" style="313"/>
    <col min="774" max="774" width="5.875" style="313" customWidth="1"/>
    <col min="775" max="775" width="11.5" style="313" bestFit="1" customWidth="1"/>
    <col min="776" max="776" width="7" style="313" customWidth="1"/>
    <col min="777" max="779" width="0" style="313" hidden="1" customWidth="1"/>
    <col min="780" max="780" width="11" style="313" customWidth="1"/>
    <col min="781" max="781" width="5" style="313" customWidth="1"/>
    <col min="782" max="782" width="6.375" style="313" customWidth="1"/>
    <col min="783" max="783" width="0" style="313" hidden="1" customWidth="1"/>
    <col min="784" max="784" width="4.25" style="313" customWidth="1"/>
    <col min="785" max="785" width="9.125" style="313" bestFit="1" customWidth="1"/>
    <col min="786" max="1024" width="9" style="313"/>
    <col min="1025" max="1025" width="11.25" style="313" customWidth="1"/>
    <col min="1026" max="1026" width="9" style="313"/>
    <col min="1027" max="1027" width="4.75" style="313" customWidth="1"/>
    <col min="1028" max="1028" width="9.75" style="313" customWidth="1"/>
    <col min="1029" max="1029" width="9" style="313"/>
    <col min="1030" max="1030" width="5.875" style="313" customWidth="1"/>
    <col min="1031" max="1031" width="11.5" style="313" bestFit="1" customWidth="1"/>
    <col min="1032" max="1032" width="7" style="313" customWidth="1"/>
    <col min="1033" max="1035" width="0" style="313" hidden="1" customWidth="1"/>
    <col min="1036" max="1036" width="11" style="313" customWidth="1"/>
    <col min="1037" max="1037" width="5" style="313" customWidth="1"/>
    <col min="1038" max="1038" width="6.375" style="313" customWidth="1"/>
    <col min="1039" max="1039" width="0" style="313" hidden="1" customWidth="1"/>
    <col min="1040" max="1040" width="4.25" style="313" customWidth="1"/>
    <col min="1041" max="1041" width="9.125" style="313" bestFit="1" customWidth="1"/>
    <col min="1042" max="1280" width="9" style="313"/>
    <col min="1281" max="1281" width="11.25" style="313" customWidth="1"/>
    <col min="1282" max="1282" width="9" style="313"/>
    <col min="1283" max="1283" width="4.75" style="313" customWidth="1"/>
    <col min="1284" max="1284" width="9.75" style="313" customWidth="1"/>
    <col min="1285" max="1285" width="9" style="313"/>
    <col min="1286" max="1286" width="5.875" style="313" customWidth="1"/>
    <col min="1287" max="1287" width="11.5" style="313" bestFit="1" customWidth="1"/>
    <col min="1288" max="1288" width="7" style="313" customWidth="1"/>
    <col min="1289" max="1291" width="0" style="313" hidden="1" customWidth="1"/>
    <col min="1292" max="1292" width="11" style="313" customWidth="1"/>
    <col min="1293" max="1293" width="5" style="313" customWidth="1"/>
    <col min="1294" max="1294" width="6.375" style="313" customWidth="1"/>
    <col min="1295" max="1295" width="0" style="313" hidden="1" customWidth="1"/>
    <col min="1296" max="1296" width="4.25" style="313" customWidth="1"/>
    <col min="1297" max="1297" width="9.125" style="313" bestFit="1" customWidth="1"/>
    <col min="1298" max="1536" width="9" style="313"/>
    <col min="1537" max="1537" width="11.25" style="313" customWidth="1"/>
    <col min="1538" max="1538" width="9" style="313"/>
    <col min="1539" max="1539" width="4.75" style="313" customWidth="1"/>
    <col min="1540" max="1540" width="9.75" style="313" customWidth="1"/>
    <col min="1541" max="1541" width="9" style="313"/>
    <col min="1542" max="1542" width="5.875" style="313" customWidth="1"/>
    <col min="1543" max="1543" width="11.5" style="313" bestFit="1" customWidth="1"/>
    <col min="1544" max="1544" width="7" style="313" customWidth="1"/>
    <col min="1545" max="1547" width="0" style="313" hidden="1" customWidth="1"/>
    <col min="1548" max="1548" width="11" style="313" customWidth="1"/>
    <col min="1549" max="1549" width="5" style="313" customWidth="1"/>
    <col min="1550" max="1550" width="6.375" style="313" customWidth="1"/>
    <col min="1551" max="1551" width="0" style="313" hidden="1" customWidth="1"/>
    <col min="1552" max="1552" width="4.25" style="313" customWidth="1"/>
    <col min="1553" max="1553" width="9.125" style="313" bestFit="1" customWidth="1"/>
    <col min="1554" max="1792" width="9" style="313"/>
    <col min="1793" max="1793" width="11.25" style="313" customWidth="1"/>
    <col min="1794" max="1794" width="9" style="313"/>
    <col min="1795" max="1795" width="4.75" style="313" customWidth="1"/>
    <col min="1796" max="1796" width="9.75" style="313" customWidth="1"/>
    <col min="1797" max="1797" width="9" style="313"/>
    <col min="1798" max="1798" width="5.875" style="313" customWidth="1"/>
    <col min="1799" max="1799" width="11.5" style="313" bestFit="1" customWidth="1"/>
    <col min="1800" max="1800" width="7" style="313" customWidth="1"/>
    <col min="1801" max="1803" width="0" style="313" hidden="1" customWidth="1"/>
    <col min="1804" max="1804" width="11" style="313" customWidth="1"/>
    <col min="1805" max="1805" width="5" style="313" customWidth="1"/>
    <col min="1806" max="1806" width="6.375" style="313" customWidth="1"/>
    <col min="1807" max="1807" width="0" style="313" hidden="1" customWidth="1"/>
    <col min="1808" max="1808" width="4.25" style="313" customWidth="1"/>
    <col min="1809" max="1809" width="9.125" style="313" bestFit="1" customWidth="1"/>
    <col min="1810" max="2048" width="9" style="313"/>
    <col min="2049" max="2049" width="11.25" style="313" customWidth="1"/>
    <col min="2050" max="2050" width="9" style="313"/>
    <col min="2051" max="2051" width="4.75" style="313" customWidth="1"/>
    <col min="2052" max="2052" width="9.75" style="313" customWidth="1"/>
    <col min="2053" max="2053" width="9" style="313"/>
    <col min="2054" max="2054" width="5.875" style="313" customWidth="1"/>
    <col min="2055" max="2055" width="11.5" style="313" bestFit="1" customWidth="1"/>
    <col min="2056" max="2056" width="7" style="313" customWidth="1"/>
    <col min="2057" max="2059" width="0" style="313" hidden="1" customWidth="1"/>
    <col min="2060" max="2060" width="11" style="313" customWidth="1"/>
    <col min="2061" max="2061" width="5" style="313" customWidth="1"/>
    <col min="2062" max="2062" width="6.375" style="313" customWidth="1"/>
    <col min="2063" max="2063" width="0" style="313" hidden="1" customWidth="1"/>
    <col min="2064" max="2064" width="4.25" style="313" customWidth="1"/>
    <col min="2065" max="2065" width="9.125" style="313" bestFit="1" customWidth="1"/>
    <col min="2066" max="2304" width="9" style="313"/>
    <col min="2305" max="2305" width="11.25" style="313" customWidth="1"/>
    <col min="2306" max="2306" width="9" style="313"/>
    <col min="2307" max="2307" width="4.75" style="313" customWidth="1"/>
    <col min="2308" max="2308" width="9.75" style="313" customWidth="1"/>
    <col min="2309" max="2309" width="9" style="313"/>
    <col min="2310" max="2310" width="5.875" style="313" customWidth="1"/>
    <col min="2311" max="2311" width="11.5" style="313" bestFit="1" customWidth="1"/>
    <col min="2312" max="2312" width="7" style="313" customWidth="1"/>
    <col min="2313" max="2315" width="0" style="313" hidden="1" customWidth="1"/>
    <col min="2316" max="2316" width="11" style="313" customWidth="1"/>
    <col min="2317" max="2317" width="5" style="313" customWidth="1"/>
    <col min="2318" max="2318" width="6.375" style="313" customWidth="1"/>
    <col min="2319" max="2319" width="0" style="313" hidden="1" customWidth="1"/>
    <col min="2320" max="2320" width="4.25" style="313" customWidth="1"/>
    <col min="2321" max="2321" width="9.125" style="313" bestFit="1" customWidth="1"/>
    <col min="2322" max="2560" width="9" style="313"/>
    <col min="2561" max="2561" width="11.25" style="313" customWidth="1"/>
    <col min="2562" max="2562" width="9" style="313"/>
    <col min="2563" max="2563" width="4.75" style="313" customWidth="1"/>
    <col min="2564" max="2564" width="9.75" style="313" customWidth="1"/>
    <col min="2565" max="2565" width="9" style="313"/>
    <col min="2566" max="2566" width="5.875" style="313" customWidth="1"/>
    <col min="2567" max="2567" width="11.5" style="313" bestFit="1" customWidth="1"/>
    <col min="2568" max="2568" width="7" style="313" customWidth="1"/>
    <col min="2569" max="2571" width="0" style="313" hidden="1" customWidth="1"/>
    <col min="2572" max="2572" width="11" style="313" customWidth="1"/>
    <col min="2573" max="2573" width="5" style="313" customWidth="1"/>
    <col min="2574" max="2574" width="6.375" style="313" customWidth="1"/>
    <col min="2575" max="2575" width="0" style="313" hidden="1" customWidth="1"/>
    <col min="2576" max="2576" width="4.25" style="313" customWidth="1"/>
    <col min="2577" max="2577" width="9.125" style="313" bestFit="1" customWidth="1"/>
    <col min="2578" max="2816" width="9" style="313"/>
    <col min="2817" max="2817" width="11.25" style="313" customWidth="1"/>
    <col min="2818" max="2818" width="9" style="313"/>
    <col min="2819" max="2819" width="4.75" style="313" customWidth="1"/>
    <col min="2820" max="2820" width="9.75" style="313" customWidth="1"/>
    <col min="2821" max="2821" width="9" style="313"/>
    <col min="2822" max="2822" width="5.875" style="313" customWidth="1"/>
    <col min="2823" max="2823" width="11.5" style="313" bestFit="1" customWidth="1"/>
    <col min="2824" max="2824" width="7" style="313" customWidth="1"/>
    <col min="2825" max="2827" width="0" style="313" hidden="1" customWidth="1"/>
    <col min="2828" max="2828" width="11" style="313" customWidth="1"/>
    <col min="2829" max="2829" width="5" style="313" customWidth="1"/>
    <col min="2830" max="2830" width="6.375" style="313" customWidth="1"/>
    <col min="2831" max="2831" width="0" style="313" hidden="1" customWidth="1"/>
    <col min="2832" max="2832" width="4.25" style="313" customWidth="1"/>
    <col min="2833" max="2833" width="9.125" style="313" bestFit="1" customWidth="1"/>
    <col min="2834" max="3072" width="9" style="313"/>
    <col min="3073" max="3073" width="11.25" style="313" customWidth="1"/>
    <col min="3074" max="3074" width="9" style="313"/>
    <col min="3075" max="3075" width="4.75" style="313" customWidth="1"/>
    <col min="3076" max="3076" width="9.75" style="313" customWidth="1"/>
    <col min="3077" max="3077" width="9" style="313"/>
    <col min="3078" max="3078" width="5.875" style="313" customWidth="1"/>
    <col min="3079" max="3079" width="11.5" style="313" bestFit="1" customWidth="1"/>
    <col min="3080" max="3080" width="7" style="313" customWidth="1"/>
    <col min="3081" max="3083" width="0" style="313" hidden="1" customWidth="1"/>
    <col min="3084" max="3084" width="11" style="313" customWidth="1"/>
    <col min="3085" max="3085" width="5" style="313" customWidth="1"/>
    <col min="3086" max="3086" width="6.375" style="313" customWidth="1"/>
    <col min="3087" max="3087" width="0" style="313" hidden="1" customWidth="1"/>
    <col min="3088" max="3088" width="4.25" style="313" customWidth="1"/>
    <col min="3089" max="3089" width="9.125" style="313" bestFit="1" customWidth="1"/>
    <col min="3090" max="3328" width="9" style="313"/>
    <col min="3329" max="3329" width="11.25" style="313" customWidth="1"/>
    <col min="3330" max="3330" width="9" style="313"/>
    <col min="3331" max="3331" width="4.75" style="313" customWidth="1"/>
    <col min="3332" max="3332" width="9.75" style="313" customWidth="1"/>
    <col min="3333" max="3333" width="9" style="313"/>
    <col min="3334" max="3334" width="5.875" style="313" customWidth="1"/>
    <col min="3335" max="3335" width="11.5" style="313" bestFit="1" customWidth="1"/>
    <col min="3336" max="3336" width="7" style="313" customWidth="1"/>
    <col min="3337" max="3339" width="0" style="313" hidden="1" customWidth="1"/>
    <col min="3340" max="3340" width="11" style="313" customWidth="1"/>
    <col min="3341" max="3341" width="5" style="313" customWidth="1"/>
    <col min="3342" max="3342" width="6.375" style="313" customWidth="1"/>
    <col min="3343" max="3343" width="0" style="313" hidden="1" customWidth="1"/>
    <col min="3344" max="3344" width="4.25" style="313" customWidth="1"/>
    <col min="3345" max="3345" width="9.125" style="313" bestFit="1" customWidth="1"/>
    <col min="3346" max="3584" width="9" style="313"/>
    <col min="3585" max="3585" width="11.25" style="313" customWidth="1"/>
    <col min="3586" max="3586" width="9" style="313"/>
    <col min="3587" max="3587" width="4.75" style="313" customWidth="1"/>
    <col min="3588" max="3588" width="9.75" style="313" customWidth="1"/>
    <col min="3589" max="3589" width="9" style="313"/>
    <col min="3590" max="3590" width="5.875" style="313" customWidth="1"/>
    <col min="3591" max="3591" width="11.5" style="313" bestFit="1" customWidth="1"/>
    <col min="3592" max="3592" width="7" style="313" customWidth="1"/>
    <col min="3593" max="3595" width="0" style="313" hidden="1" customWidth="1"/>
    <col min="3596" max="3596" width="11" style="313" customWidth="1"/>
    <col min="3597" max="3597" width="5" style="313" customWidth="1"/>
    <col min="3598" max="3598" width="6.375" style="313" customWidth="1"/>
    <col min="3599" max="3599" width="0" style="313" hidden="1" customWidth="1"/>
    <col min="3600" max="3600" width="4.25" style="313" customWidth="1"/>
    <col min="3601" max="3601" width="9.125" style="313" bestFit="1" customWidth="1"/>
    <col min="3602" max="3840" width="9" style="313"/>
    <col min="3841" max="3841" width="11.25" style="313" customWidth="1"/>
    <col min="3842" max="3842" width="9" style="313"/>
    <col min="3843" max="3843" width="4.75" style="313" customWidth="1"/>
    <col min="3844" max="3844" width="9.75" style="313" customWidth="1"/>
    <col min="3845" max="3845" width="9" style="313"/>
    <col min="3846" max="3846" width="5.875" style="313" customWidth="1"/>
    <col min="3847" max="3847" width="11.5" style="313" bestFit="1" customWidth="1"/>
    <col min="3848" max="3848" width="7" style="313" customWidth="1"/>
    <col min="3849" max="3851" width="0" style="313" hidden="1" customWidth="1"/>
    <col min="3852" max="3852" width="11" style="313" customWidth="1"/>
    <col min="3853" max="3853" width="5" style="313" customWidth="1"/>
    <col min="3854" max="3854" width="6.375" style="313" customWidth="1"/>
    <col min="3855" max="3855" width="0" style="313" hidden="1" customWidth="1"/>
    <col min="3856" max="3856" width="4.25" style="313" customWidth="1"/>
    <col min="3857" max="3857" width="9.125" style="313" bestFit="1" customWidth="1"/>
    <col min="3858" max="4096" width="9" style="313"/>
    <col min="4097" max="4097" width="11.25" style="313" customWidth="1"/>
    <col min="4098" max="4098" width="9" style="313"/>
    <col min="4099" max="4099" width="4.75" style="313" customWidth="1"/>
    <col min="4100" max="4100" width="9.75" style="313" customWidth="1"/>
    <col min="4101" max="4101" width="9" style="313"/>
    <col min="4102" max="4102" width="5.875" style="313" customWidth="1"/>
    <col min="4103" max="4103" width="11.5" style="313" bestFit="1" customWidth="1"/>
    <col min="4104" max="4104" width="7" style="313" customWidth="1"/>
    <col min="4105" max="4107" width="0" style="313" hidden="1" customWidth="1"/>
    <col min="4108" max="4108" width="11" style="313" customWidth="1"/>
    <col min="4109" max="4109" width="5" style="313" customWidth="1"/>
    <col min="4110" max="4110" width="6.375" style="313" customWidth="1"/>
    <col min="4111" max="4111" width="0" style="313" hidden="1" customWidth="1"/>
    <col min="4112" max="4112" width="4.25" style="313" customWidth="1"/>
    <col min="4113" max="4113" width="9.125" style="313" bestFit="1" customWidth="1"/>
    <col min="4114" max="4352" width="9" style="313"/>
    <col min="4353" max="4353" width="11.25" style="313" customWidth="1"/>
    <col min="4354" max="4354" width="9" style="313"/>
    <col min="4355" max="4355" width="4.75" style="313" customWidth="1"/>
    <col min="4356" max="4356" width="9.75" style="313" customWidth="1"/>
    <col min="4357" max="4357" width="9" style="313"/>
    <col min="4358" max="4358" width="5.875" style="313" customWidth="1"/>
    <col min="4359" max="4359" width="11.5" style="313" bestFit="1" customWidth="1"/>
    <col min="4360" max="4360" width="7" style="313" customWidth="1"/>
    <col min="4361" max="4363" width="0" style="313" hidden="1" customWidth="1"/>
    <col min="4364" max="4364" width="11" style="313" customWidth="1"/>
    <col min="4365" max="4365" width="5" style="313" customWidth="1"/>
    <col min="4366" max="4366" width="6.375" style="313" customWidth="1"/>
    <col min="4367" max="4367" width="0" style="313" hidden="1" customWidth="1"/>
    <col min="4368" max="4368" width="4.25" style="313" customWidth="1"/>
    <col min="4369" max="4369" width="9.125" style="313" bestFit="1" customWidth="1"/>
    <col min="4370" max="4608" width="9" style="313"/>
    <col min="4609" max="4609" width="11.25" style="313" customWidth="1"/>
    <col min="4610" max="4610" width="9" style="313"/>
    <col min="4611" max="4611" width="4.75" style="313" customWidth="1"/>
    <col min="4612" max="4612" width="9.75" style="313" customWidth="1"/>
    <col min="4613" max="4613" width="9" style="313"/>
    <col min="4614" max="4614" width="5.875" style="313" customWidth="1"/>
    <col min="4615" max="4615" width="11.5" style="313" bestFit="1" customWidth="1"/>
    <col min="4616" max="4616" width="7" style="313" customWidth="1"/>
    <col min="4617" max="4619" width="0" style="313" hidden="1" customWidth="1"/>
    <col min="4620" max="4620" width="11" style="313" customWidth="1"/>
    <col min="4621" max="4621" width="5" style="313" customWidth="1"/>
    <col min="4622" max="4622" width="6.375" style="313" customWidth="1"/>
    <col min="4623" max="4623" width="0" style="313" hidden="1" customWidth="1"/>
    <col min="4624" max="4624" width="4.25" style="313" customWidth="1"/>
    <col min="4625" max="4625" width="9.125" style="313" bestFit="1" customWidth="1"/>
    <col min="4626" max="4864" width="9" style="313"/>
    <col min="4865" max="4865" width="11.25" style="313" customWidth="1"/>
    <col min="4866" max="4866" width="9" style="313"/>
    <col min="4867" max="4867" width="4.75" style="313" customWidth="1"/>
    <col min="4868" max="4868" width="9.75" style="313" customWidth="1"/>
    <col min="4869" max="4869" width="9" style="313"/>
    <col min="4870" max="4870" width="5.875" style="313" customWidth="1"/>
    <col min="4871" max="4871" width="11.5" style="313" bestFit="1" customWidth="1"/>
    <col min="4872" max="4872" width="7" style="313" customWidth="1"/>
    <col min="4873" max="4875" width="0" style="313" hidden="1" customWidth="1"/>
    <col min="4876" max="4876" width="11" style="313" customWidth="1"/>
    <col min="4877" max="4877" width="5" style="313" customWidth="1"/>
    <col min="4878" max="4878" width="6.375" style="313" customWidth="1"/>
    <col min="4879" max="4879" width="0" style="313" hidden="1" customWidth="1"/>
    <col min="4880" max="4880" width="4.25" style="313" customWidth="1"/>
    <col min="4881" max="4881" width="9.125" style="313" bestFit="1" customWidth="1"/>
    <col min="4882" max="5120" width="9" style="313"/>
    <col min="5121" max="5121" width="11.25" style="313" customWidth="1"/>
    <col min="5122" max="5122" width="9" style="313"/>
    <col min="5123" max="5123" width="4.75" style="313" customWidth="1"/>
    <col min="5124" max="5124" width="9.75" style="313" customWidth="1"/>
    <col min="5125" max="5125" width="9" style="313"/>
    <col min="5126" max="5126" width="5.875" style="313" customWidth="1"/>
    <col min="5127" max="5127" width="11.5" style="313" bestFit="1" customWidth="1"/>
    <col min="5128" max="5128" width="7" style="313" customWidth="1"/>
    <col min="5129" max="5131" width="0" style="313" hidden="1" customWidth="1"/>
    <col min="5132" max="5132" width="11" style="313" customWidth="1"/>
    <col min="5133" max="5133" width="5" style="313" customWidth="1"/>
    <col min="5134" max="5134" width="6.375" style="313" customWidth="1"/>
    <col min="5135" max="5135" width="0" style="313" hidden="1" customWidth="1"/>
    <col min="5136" max="5136" width="4.25" style="313" customWidth="1"/>
    <col min="5137" max="5137" width="9.125" style="313" bestFit="1" customWidth="1"/>
    <col min="5138" max="5376" width="9" style="313"/>
    <col min="5377" max="5377" width="11.25" style="313" customWidth="1"/>
    <col min="5378" max="5378" width="9" style="313"/>
    <col min="5379" max="5379" width="4.75" style="313" customWidth="1"/>
    <col min="5380" max="5380" width="9.75" style="313" customWidth="1"/>
    <col min="5381" max="5381" width="9" style="313"/>
    <col min="5382" max="5382" width="5.875" style="313" customWidth="1"/>
    <col min="5383" max="5383" width="11.5" style="313" bestFit="1" customWidth="1"/>
    <col min="5384" max="5384" width="7" style="313" customWidth="1"/>
    <col min="5385" max="5387" width="0" style="313" hidden="1" customWidth="1"/>
    <col min="5388" max="5388" width="11" style="313" customWidth="1"/>
    <col min="5389" max="5389" width="5" style="313" customWidth="1"/>
    <col min="5390" max="5390" width="6.375" style="313" customWidth="1"/>
    <col min="5391" max="5391" width="0" style="313" hidden="1" customWidth="1"/>
    <col min="5392" max="5392" width="4.25" style="313" customWidth="1"/>
    <col min="5393" max="5393" width="9.125" style="313" bestFit="1" customWidth="1"/>
    <col min="5394" max="5632" width="9" style="313"/>
    <col min="5633" max="5633" width="11.25" style="313" customWidth="1"/>
    <col min="5634" max="5634" width="9" style="313"/>
    <col min="5635" max="5635" width="4.75" style="313" customWidth="1"/>
    <col min="5636" max="5636" width="9.75" style="313" customWidth="1"/>
    <col min="5637" max="5637" width="9" style="313"/>
    <col min="5638" max="5638" width="5.875" style="313" customWidth="1"/>
    <col min="5639" max="5639" width="11.5" style="313" bestFit="1" customWidth="1"/>
    <col min="5640" max="5640" width="7" style="313" customWidth="1"/>
    <col min="5641" max="5643" width="0" style="313" hidden="1" customWidth="1"/>
    <col min="5644" max="5644" width="11" style="313" customWidth="1"/>
    <col min="5645" max="5645" width="5" style="313" customWidth="1"/>
    <col min="5646" max="5646" width="6.375" style="313" customWidth="1"/>
    <col min="5647" max="5647" width="0" style="313" hidden="1" customWidth="1"/>
    <col min="5648" max="5648" width="4.25" style="313" customWidth="1"/>
    <col min="5649" max="5649" width="9.125" style="313" bestFit="1" customWidth="1"/>
    <col min="5650" max="5888" width="9" style="313"/>
    <col min="5889" max="5889" width="11.25" style="313" customWidth="1"/>
    <col min="5890" max="5890" width="9" style="313"/>
    <col min="5891" max="5891" width="4.75" style="313" customWidth="1"/>
    <col min="5892" max="5892" width="9.75" style="313" customWidth="1"/>
    <col min="5893" max="5893" width="9" style="313"/>
    <col min="5894" max="5894" width="5.875" style="313" customWidth="1"/>
    <col min="5895" max="5895" width="11.5" style="313" bestFit="1" customWidth="1"/>
    <col min="5896" max="5896" width="7" style="313" customWidth="1"/>
    <col min="5897" max="5899" width="0" style="313" hidden="1" customWidth="1"/>
    <col min="5900" max="5900" width="11" style="313" customWidth="1"/>
    <col min="5901" max="5901" width="5" style="313" customWidth="1"/>
    <col min="5902" max="5902" width="6.375" style="313" customWidth="1"/>
    <col min="5903" max="5903" width="0" style="313" hidden="1" customWidth="1"/>
    <col min="5904" max="5904" width="4.25" style="313" customWidth="1"/>
    <col min="5905" max="5905" width="9.125" style="313" bestFit="1" customWidth="1"/>
    <col min="5906" max="6144" width="9" style="313"/>
    <col min="6145" max="6145" width="11.25" style="313" customWidth="1"/>
    <col min="6146" max="6146" width="9" style="313"/>
    <col min="6147" max="6147" width="4.75" style="313" customWidth="1"/>
    <col min="6148" max="6148" width="9.75" style="313" customWidth="1"/>
    <col min="6149" max="6149" width="9" style="313"/>
    <col min="6150" max="6150" width="5.875" style="313" customWidth="1"/>
    <col min="6151" max="6151" width="11.5" style="313" bestFit="1" customWidth="1"/>
    <col min="6152" max="6152" width="7" style="313" customWidth="1"/>
    <col min="6153" max="6155" width="0" style="313" hidden="1" customWidth="1"/>
    <col min="6156" max="6156" width="11" style="313" customWidth="1"/>
    <col min="6157" max="6157" width="5" style="313" customWidth="1"/>
    <col min="6158" max="6158" width="6.375" style="313" customWidth="1"/>
    <col min="6159" max="6159" width="0" style="313" hidden="1" customWidth="1"/>
    <col min="6160" max="6160" width="4.25" style="313" customWidth="1"/>
    <col min="6161" max="6161" width="9.125" style="313" bestFit="1" customWidth="1"/>
    <col min="6162" max="6400" width="9" style="313"/>
    <col min="6401" max="6401" width="11.25" style="313" customWidth="1"/>
    <col min="6402" max="6402" width="9" style="313"/>
    <col min="6403" max="6403" width="4.75" style="313" customWidth="1"/>
    <col min="6404" max="6404" width="9.75" style="313" customWidth="1"/>
    <col min="6405" max="6405" width="9" style="313"/>
    <col min="6406" max="6406" width="5.875" style="313" customWidth="1"/>
    <col min="6407" max="6407" width="11.5" style="313" bestFit="1" customWidth="1"/>
    <col min="6408" max="6408" width="7" style="313" customWidth="1"/>
    <col min="6409" max="6411" width="0" style="313" hidden="1" customWidth="1"/>
    <col min="6412" max="6412" width="11" style="313" customWidth="1"/>
    <col min="6413" max="6413" width="5" style="313" customWidth="1"/>
    <col min="6414" max="6414" width="6.375" style="313" customWidth="1"/>
    <col min="6415" max="6415" width="0" style="313" hidden="1" customWidth="1"/>
    <col min="6416" max="6416" width="4.25" style="313" customWidth="1"/>
    <col min="6417" max="6417" width="9.125" style="313" bestFit="1" customWidth="1"/>
    <col min="6418" max="6656" width="9" style="313"/>
    <col min="6657" max="6657" width="11.25" style="313" customWidth="1"/>
    <col min="6658" max="6658" width="9" style="313"/>
    <col min="6659" max="6659" width="4.75" style="313" customWidth="1"/>
    <col min="6660" max="6660" width="9.75" style="313" customWidth="1"/>
    <col min="6661" max="6661" width="9" style="313"/>
    <col min="6662" max="6662" width="5.875" style="313" customWidth="1"/>
    <col min="6663" max="6663" width="11.5" style="313" bestFit="1" customWidth="1"/>
    <col min="6664" max="6664" width="7" style="313" customWidth="1"/>
    <col min="6665" max="6667" width="0" style="313" hidden="1" customWidth="1"/>
    <col min="6668" max="6668" width="11" style="313" customWidth="1"/>
    <col min="6669" max="6669" width="5" style="313" customWidth="1"/>
    <col min="6670" max="6670" width="6.375" style="313" customWidth="1"/>
    <col min="6671" max="6671" width="0" style="313" hidden="1" customWidth="1"/>
    <col min="6672" max="6672" width="4.25" style="313" customWidth="1"/>
    <col min="6673" max="6673" width="9.125" style="313" bestFit="1" customWidth="1"/>
    <col min="6674" max="6912" width="9" style="313"/>
    <col min="6913" max="6913" width="11.25" style="313" customWidth="1"/>
    <col min="6914" max="6914" width="9" style="313"/>
    <col min="6915" max="6915" width="4.75" style="313" customWidth="1"/>
    <col min="6916" max="6916" width="9.75" style="313" customWidth="1"/>
    <col min="6917" max="6917" width="9" style="313"/>
    <col min="6918" max="6918" width="5.875" style="313" customWidth="1"/>
    <col min="6919" max="6919" width="11.5" style="313" bestFit="1" customWidth="1"/>
    <col min="6920" max="6920" width="7" style="313" customWidth="1"/>
    <col min="6921" max="6923" width="0" style="313" hidden="1" customWidth="1"/>
    <col min="6924" max="6924" width="11" style="313" customWidth="1"/>
    <col min="6925" max="6925" width="5" style="313" customWidth="1"/>
    <col min="6926" max="6926" width="6.375" style="313" customWidth="1"/>
    <col min="6927" max="6927" width="0" style="313" hidden="1" customWidth="1"/>
    <col min="6928" max="6928" width="4.25" style="313" customWidth="1"/>
    <col min="6929" max="6929" width="9.125" style="313" bestFit="1" customWidth="1"/>
    <col min="6930" max="7168" width="9" style="313"/>
    <col min="7169" max="7169" width="11.25" style="313" customWidth="1"/>
    <col min="7170" max="7170" width="9" style="313"/>
    <col min="7171" max="7171" width="4.75" style="313" customWidth="1"/>
    <col min="7172" max="7172" width="9.75" style="313" customWidth="1"/>
    <col min="7173" max="7173" width="9" style="313"/>
    <col min="7174" max="7174" width="5.875" style="313" customWidth="1"/>
    <col min="7175" max="7175" width="11.5" style="313" bestFit="1" customWidth="1"/>
    <col min="7176" max="7176" width="7" style="313" customWidth="1"/>
    <col min="7177" max="7179" width="0" style="313" hidden="1" customWidth="1"/>
    <col min="7180" max="7180" width="11" style="313" customWidth="1"/>
    <col min="7181" max="7181" width="5" style="313" customWidth="1"/>
    <col min="7182" max="7182" width="6.375" style="313" customWidth="1"/>
    <col min="7183" max="7183" width="0" style="313" hidden="1" customWidth="1"/>
    <col min="7184" max="7184" width="4.25" style="313" customWidth="1"/>
    <col min="7185" max="7185" width="9.125" style="313" bestFit="1" customWidth="1"/>
    <col min="7186" max="7424" width="9" style="313"/>
    <col min="7425" max="7425" width="11.25" style="313" customWidth="1"/>
    <col min="7426" max="7426" width="9" style="313"/>
    <col min="7427" max="7427" width="4.75" style="313" customWidth="1"/>
    <col min="7428" max="7428" width="9.75" style="313" customWidth="1"/>
    <col min="7429" max="7429" width="9" style="313"/>
    <col min="7430" max="7430" width="5.875" style="313" customWidth="1"/>
    <col min="7431" max="7431" width="11.5" style="313" bestFit="1" customWidth="1"/>
    <col min="7432" max="7432" width="7" style="313" customWidth="1"/>
    <col min="7433" max="7435" width="0" style="313" hidden="1" customWidth="1"/>
    <col min="7436" max="7436" width="11" style="313" customWidth="1"/>
    <col min="7437" max="7437" width="5" style="313" customWidth="1"/>
    <col min="7438" max="7438" width="6.375" style="313" customWidth="1"/>
    <col min="7439" max="7439" width="0" style="313" hidden="1" customWidth="1"/>
    <col min="7440" max="7440" width="4.25" style="313" customWidth="1"/>
    <col min="7441" max="7441" width="9.125" style="313" bestFit="1" customWidth="1"/>
    <col min="7442" max="7680" width="9" style="313"/>
    <col min="7681" max="7681" width="11.25" style="313" customWidth="1"/>
    <col min="7682" max="7682" width="9" style="313"/>
    <col min="7683" max="7683" width="4.75" style="313" customWidth="1"/>
    <col min="7684" max="7684" width="9.75" style="313" customWidth="1"/>
    <col min="7685" max="7685" width="9" style="313"/>
    <col min="7686" max="7686" width="5.875" style="313" customWidth="1"/>
    <col min="7687" max="7687" width="11.5" style="313" bestFit="1" customWidth="1"/>
    <col min="7688" max="7688" width="7" style="313" customWidth="1"/>
    <col min="7689" max="7691" width="0" style="313" hidden="1" customWidth="1"/>
    <col min="7692" max="7692" width="11" style="313" customWidth="1"/>
    <col min="7693" max="7693" width="5" style="313" customWidth="1"/>
    <col min="7694" max="7694" width="6.375" style="313" customWidth="1"/>
    <col min="7695" max="7695" width="0" style="313" hidden="1" customWidth="1"/>
    <col min="7696" max="7696" width="4.25" style="313" customWidth="1"/>
    <col min="7697" max="7697" width="9.125" style="313" bestFit="1" customWidth="1"/>
    <col min="7698" max="7936" width="9" style="313"/>
    <col min="7937" max="7937" width="11.25" style="313" customWidth="1"/>
    <col min="7938" max="7938" width="9" style="313"/>
    <col min="7939" max="7939" width="4.75" style="313" customWidth="1"/>
    <col min="7940" max="7940" width="9.75" style="313" customWidth="1"/>
    <col min="7941" max="7941" width="9" style="313"/>
    <col min="7942" max="7942" width="5.875" style="313" customWidth="1"/>
    <col min="7943" max="7943" width="11.5" style="313" bestFit="1" customWidth="1"/>
    <col min="7944" max="7944" width="7" style="313" customWidth="1"/>
    <col min="7945" max="7947" width="0" style="313" hidden="1" customWidth="1"/>
    <col min="7948" max="7948" width="11" style="313" customWidth="1"/>
    <col min="7949" max="7949" width="5" style="313" customWidth="1"/>
    <col min="7950" max="7950" width="6.375" style="313" customWidth="1"/>
    <col min="7951" max="7951" width="0" style="313" hidden="1" customWidth="1"/>
    <col min="7952" max="7952" width="4.25" style="313" customWidth="1"/>
    <col min="7953" max="7953" width="9.125" style="313" bestFit="1" customWidth="1"/>
    <col min="7954" max="8192" width="9" style="313"/>
    <col min="8193" max="8193" width="11.25" style="313" customWidth="1"/>
    <col min="8194" max="8194" width="9" style="313"/>
    <col min="8195" max="8195" width="4.75" style="313" customWidth="1"/>
    <col min="8196" max="8196" width="9.75" style="313" customWidth="1"/>
    <col min="8197" max="8197" width="9" style="313"/>
    <col min="8198" max="8198" width="5.875" style="313" customWidth="1"/>
    <col min="8199" max="8199" width="11.5" style="313" bestFit="1" customWidth="1"/>
    <col min="8200" max="8200" width="7" style="313" customWidth="1"/>
    <col min="8201" max="8203" width="0" style="313" hidden="1" customWidth="1"/>
    <col min="8204" max="8204" width="11" style="313" customWidth="1"/>
    <col min="8205" max="8205" width="5" style="313" customWidth="1"/>
    <col min="8206" max="8206" width="6.375" style="313" customWidth="1"/>
    <col min="8207" max="8207" width="0" style="313" hidden="1" customWidth="1"/>
    <col min="8208" max="8208" width="4.25" style="313" customWidth="1"/>
    <col min="8209" max="8209" width="9.125" style="313" bestFit="1" customWidth="1"/>
    <col min="8210" max="8448" width="9" style="313"/>
    <col min="8449" max="8449" width="11.25" style="313" customWidth="1"/>
    <col min="8450" max="8450" width="9" style="313"/>
    <col min="8451" max="8451" width="4.75" style="313" customWidth="1"/>
    <col min="8452" max="8452" width="9.75" style="313" customWidth="1"/>
    <col min="8453" max="8453" width="9" style="313"/>
    <col min="8454" max="8454" width="5.875" style="313" customWidth="1"/>
    <col min="8455" max="8455" width="11.5" style="313" bestFit="1" customWidth="1"/>
    <col min="8456" max="8456" width="7" style="313" customWidth="1"/>
    <col min="8457" max="8459" width="0" style="313" hidden="1" customWidth="1"/>
    <col min="8460" max="8460" width="11" style="313" customWidth="1"/>
    <col min="8461" max="8461" width="5" style="313" customWidth="1"/>
    <col min="8462" max="8462" width="6.375" style="313" customWidth="1"/>
    <col min="8463" max="8463" width="0" style="313" hidden="1" customWidth="1"/>
    <col min="8464" max="8464" width="4.25" style="313" customWidth="1"/>
    <col min="8465" max="8465" width="9.125" style="313" bestFit="1" customWidth="1"/>
    <col min="8466" max="8704" width="9" style="313"/>
    <col min="8705" max="8705" width="11.25" style="313" customWidth="1"/>
    <col min="8706" max="8706" width="9" style="313"/>
    <col min="8707" max="8707" width="4.75" style="313" customWidth="1"/>
    <col min="8708" max="8708" width="9.75" style="313" customWidth="1"/>
    <col min="8709" max="8709" width="9" style="313"/>
    <col min="8710" max="8710" width="5.875" style="313" customWidth="1"/>
    <col min="8711" max="8711" width="11.5" style="313" bestFit="1" customWidth="1"/>
    <col min="8712" max="8712" width="7" style="313" customWidth="1"/>
    <col min="8713" max="8715" width="0" style="313" hidden="1" customWidth="1"/>
    <col min="8716" max="8716" width="11" style="313" customWidth="1"/>
    <col min="8717" max="8717" width="5" style="313" customWidth="1"/>
    <col min="8718" max="8718" width="6.375" style="313" customWidth="1"/>
    <col min="8719" max="8719" width="0" style="313" hidden="1" customWidth="1"/>
    <col min="8720" max="8720" width="4.25" style="313" customWidth="1"/>
    <col min="8721" max="8721" width="9.125" style="313" bestFit="1" customWidth="1"/>
    <col min="8722" max="8960" width="9" style="313"/>
    <col min="8961" max="8961" width="11.25" style="313" customWidth="1"/>
    <col min="8962" max="8962" width="9" style="313"/>
    <col min="8963" max="8963" width="4.75" style="313" customWidth="1"/>
    <col min="8964" max="8964" width="9.75" style="313" customWidth="1"/>
    <col min="8965" max="8965" width="9" style="313"/>
    <col min="8966" max="8966" width="5.875" style="313" customWidth="1"/>
    <col min="8967" max="8967" width="11.5" style="313" bestFit="1" customWidth="1"/>
    <col min="8968" max="8968" width="7" style="313" customWidth="1"/>
    <col min="8969" max="8971" width="0" style="313" hidden="1" customWidth="1"/>
    <col min="8972" max="8972" width="11" style="313" customWidth="1"/>
    <col min="8973" max="8973" width="5" style="313" customWidth="1"/>
    <col min="8974" max="8974" width="6.375" style="313" customWidth="1"/>
    <col min="8975" max="8975" width="0" style="313" hidden="1" customWidth="1"/>
    <col min="8976" max="8976" width="4.25" style="313" customWidth="1"/>
    <col min="8977" max="8977" width="9.125" style="313" bestFit="1" customWidth="1"/>
    <col min="8978" max="9216" width="9" style="313"/>
    <col min="9217" max="9217" width="11.25" style="313" customWidth="1"/>
    <col min="9218" max="9218" width="9" style="313"/>
    <col min="9219" max="9219" width="4.75" style="313" customWidth="1"/>
    <col min="9220" max="9220" width="9.75" style="313" customWidth="1"/>
    <col min="9221" max="9221" width="9" style="313"/>
    <col min="9222" max="9222" width="5.875" style="313" customWidth="1"/>
    <col min="9223" max="9223" width="11.5" style="313" bestFit="1" customWidth="1"/>
    <col min="9224" max="9224" width="7" style="313" customWidth="1"/>
    <col min="9225" max="9227" width="0" style="313" hidden="1" customWidth="1"/>
    <col min="9228" max="9228" width="11" style="313" customWidth="1"/>
    <col min="9229" max="9229" width="5" style="313" customWidth="1"/>
    <col min="9230" max="9230" width="6.375" style="313" customWidth="1"/>
    <col min="9231" max="9231" width="0" style="313" hidden="1" customWidth="1"/>
    <col min="9232" max="9232" width="4.25" style="313" customWidth="1"/>
    <col min="9233" max="9233" width="9.125" style="313" bestFit="1" customWidth="1"/>
    <col min="9234" max="9472" width="9" style="313"/>
    <col min="9473" max="9473" width="11.25" style="313" customWidth="1"/>
    <col min="9474" max="9474" width="9" style="313"/>
    <col min="9475" max="9475" width="4.75" style="313" customWidth="1"/>
    <col min="9476" max="9476" width="9.75" style="313" customWidth="1"/>
    <col min="9477" max="9477" width="9" style="313"/>
    <col min="9478" max="9478" width="5.875" style="313" customWidth="1"/>
    <col min="9479" max="9479" width="11.5" style="313" bestFit="1" customWidth="1"/>
    <col min="9480" max="9480" width="7" style="313" customWidth="1"/>
    <col min="9481" max="9483" width="0" style="313" hidden="1" customWidth="1"/>
    <col min="9484" max="9484" width="11" style="313" customWidth="1"/>
    <col min="9485" max="9485" width="5" style="313" customWidth="1"/>
    <col min="9486" max="9486" width="6.375" style="313" customWidth="1"/>
    <col min="9487" max="9487" width="0" style="313" hidden="1" customWidth="1"/>
    <col min="9488" max="9488" width="4.25" style="313" customWidth="1"/>
    <col min="9489" max="9489" width="9.125" style="313" bestFit="1" customWidth="1"/>
    <col min="9490" max="9728" width="9" style="313"/>
    <col min="9729" max="9729" width="11.25" style="313" customWidth="1"/>
    <col min="9730" max="9730" width="9" style="313"/>
    <col min="9731" max="9731" width="4.75" style="313" customWidth="1"/>
    <col min="9732" max="9732" width="9.75" style="313" customWidth="1"/>
    <col min="9733" max="9733" width="9" style="313"/>
    <col min="9734" max="9734" width="5.875" style="313" customWidth="1"/>
    <col min="9735" max="9735" width="11.5" style="313" bestFit="1" customWidth="1"/>
    <col min="9736" max="9736" width="7" style="313" customWidth="1"/>
    <col min="9737" max="9739" width="0" style="313" hidden="1" customWidth="1"/>
    <col min="9740" max="9740" width="11" style="313" customWidth="1"/>
    <col min="9741" max="9741" width="5" style="313" customWidth="1"/>
    <col min="9742" max="9742" width="6.375" style="313" customWidth="1"/>
    <col min="9743" max="9743" width="0" style="313" hidden="1" customWidth="1"/>
    <col min="9744" max="9744" width="4.25" style="313" customWidth="1"/>
    <col min="9745" max="9745" width="9.125" style="313" bestFit="1" customWidth="1"/>
    <col min="9746" max="9984" width="9" style="313"/>
    <col min="9985" max="9985" width="11.25" style="313" customWidth="1"/>
    <col min="9986" max="9986" width="9" style="313"/>
    <col min="9987" max="9987" width="4.75" style="313" customWidth="1"/>
    <col min="9988" max="9988" width="9.75" style="313" customWidth="1"/>
    <col min="9989" max="9989" width="9" style="313"/>
    <col min="9990" max="9990" width="5.875" style="313" customWidth="1"/>
    <col min="9991" max="9991" width="11.5" style="313" bestFit="1" customWidth="1"/>
    <col min="9992" max="9992" width="7" style="313" customWidth="1"/>
    <col min="9993" max="9995" width="0" style="313" hidden="1" customWidth="1"/>
    <col min="9996" max="9996" width="11" style="313" customWidth="1"/>
    <col min="9997" max="9997" width="5" style="313" customWidth="1"/>
    <col min="9998" max="9998" width="6.375" style="313" customWidth="1"/>
    <col min="9999" max="9999" width="0" style="313" hidden="1" customWidth="1"/>
    <col min="10000" max="10000" width="4.25" style="313" customWidth="1"/>
    <col min="10001" max="10001" width="9.125" style="313" bestFit="1" customWidth="1"/>
    <col min="10002" max="10240" width="9" style="313"/>
    <col min="10241" max="10241" width="11.25" style="313" customWidth="1"/>
    <col min="10242" max="10242" width="9" style="313"/>
    <col min="10243" max="10243" width="4.75" style="313" customWidth="1"/>
    <col min="10244" max="10244" width="9.75" style="313" customWidth="1"/>
    <col min="10245" max="10245" width="9" style="313"/>
    <col min="10246" max="10246" width="5.875" style="313" customWidth="1"/>
    <col min="10247" max="10247" width="11.5" style="313" bestFit="1" customWidth="1"/>
    <col min="10248" max="10248" width="7" style="313" customWidth="1"/>
    <col min="10249" max="10251" width="0" style="313" hidden="1" customWidth="1"/>
    <col min="10252" max="10252" width="11" style="313" customWidth="1"/>
    <col min="10253" max="10253" width="5" style="313" customWidth="1"/>
    <col min="10254" max="10254" width="6.375" style="313" customWidth="1"/>
    <col min="10255" max="10255" width="0" style="313" hidden="1" customWidth="1"/>
    <col min="10256" max="10256" width="4.25" style="313" customWidth="1"/>
    <col min="10257" max="10257" width="9.125" style="313" bestFit="1" customWidth="1"/>
    <col min="10258" max="10496" width="9" style="313"/>
    <col min="10497" max="10497" width="11.25" style="313" customWidth="1"/>
    <col min="10498" max="10498" width="9" style="313"/>
    <col min="10499" max="10499" width="4.75" style="313" customWidth="1"/>
    <col min="10500" max="10500" width="9.75" style="313" customWidth="1"/>
    <col min="10501" max="10501" width="9" style="313"/>
    <col min="10502" max="10502" width="5.875" style="313" customWidth="1"/>
    <col min="10503" max="10503" width="11.5" style="313" bestFit="1" customWidth="1"/>
    <col min="10504" max="10504" width="7" style="313" customWidth="1"/>
    <col min="10505" max="10507" width="0" style="313" hidden="1" customWidth="1"/>
    <col min="10508" max="10508" width="11" style="313" customWidth="1"/>
    <col min="10509" max="10509" width="5" style="313" customWidth="1"/>
    <col min="10510" max="10510" width="6.375" style="313" customWidth="1"/>
    <col min="10511" max="10511" width="0" style="313" hidden="1" customWidth="1"/>
    <col min="10512" max="10512" width="4.25" style="313" customWidth="1"/>
    <col min="10513" max="10513" width="9.125" style="313" bestFit="1" customWidth="1"/>
    <col min="10514" max="10752" width="9" style="313"/>
    <col min="10753" max="10753" width="11.25" style="313" customWidth="1"/>
    <col min="10754" max="10754" width="9" style="313"/>
    <col min="10755" max="10755" width="4.75" style="313" customWidth="1"/>
    <col min="10756" max="10756" width="9.75" style="313" customWidth="1"/>
    <col min="10757" max="10757" width="9" style="313"/>
    <col min="10758" max="10758" width="5.875" style="313" customWidth="1"/>
    <col min="10759" max="10759" width="11.5" style="313" bestFit="1" customWidth="1"/>
    <col min="10760" max="10760" width="7" style="313" customWidth="1"/>
    <col min="10761" max="10763" width="0" style="313" hidden="1" customWidth="1"/>
    <col min="10764" max="10764" width="11" style="313" customWidth="1"/>
    <col min="10765" max="10765" width="5" style="313" customWidth="1"/>
    <col min="10766" max="10766" width="6.375" style="313" customWidth="1"/>
    <col min="10767" max="10767" width="0" style="313" hidden="1" customWidth="1"/>
    <col min="10768" max="10768" width="4.25" style="313" customWidth="1"/>
    <col min="10769" max="10769" width="9.125" style="313" bestFit="1" customWidth="1"/>
    <col min="10770" max="11008" width="9" style="313"/>
    <col min="11009" max="11009" width="11.25" style="313" customWidth="1"/>
    <col min="11010" max="11010" width="9" style="313"/>
    <col min="11011" max="11011" width="4.75" style="313" customWidth="1"/>
    <col min="11012" max="11012" width="9.75" style="313" customWidth="1"/>
    <col min="11013" max="11013" width="9" style="313"/>
    <col min="11014" max="11014" width="5.875" style="313" customWidth="1"/>
    <col min="11015" max="11015" width="11.5" style="313" bestFit="1" customWidth="1"/>
    <col min="11016" max="11016" width="7" style="313" customWidth="1"/>
    <col min="11017" max="11019" width="0" style="313" hidden="1" customWidth="1"/>
    <col min="11020" max="11020" width="11" style="313" customWidth="1"/>
    <col min="11021" max="11021" width="5" style="313" customWidth="1"/>
    <col min="11022" max="11022" width="6.375" style="313" customWidth="1"/>
    <col min="11023" max="11023" width="0" style="313" hidden="1" customWidth="1"/>
    <col min="11024" max="11024" width="4.25" style="313" customWidth="1"/>
    <col min="11025" max="11025" width="9.125" style="313" bestFit="1" customWidth="1"/>
    <col min="11026" max="11264" width="9" style="313"/>
    <col min="11265" max="11265" width="11.25" style="313" customWidth="1"/>
    <col min="11266" max="11266" width="9" style="313"/>
    <col min="11267" max="11267" width="4.75" style="313" customWidth="1"/>
    <col min="11268" max="11268" width="9.75" style="313" customWidth="1"/>
    <col min="11269" max="11269" width="9" style="313"/>
    <col min="11270" max="11270" width="5.875" style="313" customWidth="1"/>
    <col min="11271" max="11271" width="11.5" style="313" bestFit="1" customWidth="1"/>
    <col min="11272" max="11272" width="7" style="313" customWidth="1"/>
    <col min="11273" max="11275" width="0" style="313" hidden="1" customWidth="1"/>
    <col min="11276" max="11276" width="11" style="313" customWidth="1"/>
    <col min="11277" max="11277" width="5" style="313" customWidth="1"/>
    <col min="11278" max="11278" width="6.375" style="313" customWidth="1"/>
    <col min="11279" max="11279" width="0" style="313" hidden="1" customWidth="1"/>
    <col min="11280" max="11280" width="4.25" style="313" customWidth="1"/>
    <col min="11281" max="11281" width="9.125" style="313" bestFit="1" customWidth="1"/>
    <col min="11282" max="11520" width="9" style="313"/>
    <col min="11521" max="11521" width="11.25" style="313" customWidth="1"/>
    <col min="11522" max="11522" width="9" style="313"/>
    <col min="11523" max="11523" width="4.75" style="313" customWidth="1"/>
    <col min="11524" max="11524" width="9.75" style="313" customWidth="1"/>
    <col min="11525" max="11525" width="9" style="313"/>
    <col min="11526" max="11526" width="5.875" style="313" customWidth="1"/>
    <col min="11527" max="11527" width="11.5" style="313" bestFit="1" customWidth="1"/>
    <col min="11528" max="11528" width="7" style="313" customWidth="1"/>
    <col min="11529" max="11531" width="0" style="313" hidden="1" customWidth="1"/>
    <col min="11532" max="11532" width="11" style="313" customWidth="1"/>
    <col min="11533" max="11533" width="5" style="313" customWidth="1"/>
    <col min="11534" max="11534" width="6.375" style="313" customWidth="1"/>
    <col min="11535" max="11535" width="0" style="313" hidden="1" customWidth="1"/>
    <col min="11536" max="11536" width="4.25" style="313" customWidth="1"/>
    <col min="11537" max="11537" width="9.125" style="313" bestFit="1" customWidth="1"/>
    <col min="11538" max="11776" width="9" style="313"/>
    <col min="11777" max="11777" width="11.25" style="313" customWidth="1"/>
    <col min="11778" max="11778" width="9" style="313"/>
    <col min="11779" max="11779" width="4.75" style="313" customWidth="1"/>
    <col min="11780" max="11780" width="9.75" style="313" customWidth="1"/>
    <col min="11781" max="11781" width="9" style="313"/>
    <col min="11782" max="11782" width="5.875" style="313" customWidth="1"/>
    <col min="11783" max="11783" width="11.5" style="313" bestFit="1" customWidth="1"/>
    <col min="11784" max="11784" width="7" style="313" customWidth="1"/>
    <col min="11785" max="11787" width="0" style="313" hidden="1" customWidth="1"/>
    <col min="11788" max="11788" width="11" style="313" customWidth="1"/>
    <col min="11789" max="11789" width="5" style="313" customWidth="1"/>
    <col min="11790" max="11790" width="6.375" style="313" customWidth="1"/>
    <col min="11791" max="11791" width="0" style="313" hidden="1" customWidth="1"/>
    <col min="11792" max="11792" width="4.25" style="313" customWidth="1"/>
    <col min="11793" max="11793" width="9.125" style="313" bestFit="1" customWidth="1"/>
    <col min="11794" max="12032" width="9" style="313"/>
    <col min="12033" max="12033" width="11.25" style="313" customWidth="1"/>
    <col min="12034" max="12034" width="9" style="313"/>
    <col min="12035" max="12035" width="4.75" style="313" customWidth="1"/>
    <col min="12036" max="12036" width="9.75" style="313" customWidth="1"/>
    <col min="12037" max="12037" width="9" style="313"/>
    <col min="12038" max="12038" width="5.875" style="313" customWidth="1"/>
    <col min="12039" max="12039" width="11.5" style="313" bestFit="1" customWidth="1"/>
    <col min="12040" max="12040" width="7" style="313" customWidth="1"/>
    <col min="12041" max="12043" width="0" style="313" hidden="1" customWidth="1"/>
    <col min="12044" max="12044" width="11" style="313" customWidth="1"/>
    <col min="12045" max="12045" width="5" style="313" customWidth="1"/>
    <col min="12046" max="12046" width="6.375" style="313" customWidth="1"/>
    <col min="12047" max="12047" width="0" style="313" hidden="1" customWidth="1"/>
    <col min="12048" max="12048" width="4.25" style="313" customWidth="1"/>
    <col min="12049" max="12049" width="9.125" style="313" bestFit="1" customWidth="1"/>
    <col min="12050" max="12288" width="9" style="313"/>
    <col min="12289" max="12289" width="11.25" style="313" customWidth="1"/>
    <col min="12290" max="12290" width="9" style="313"/>
    <col min="12291" max="12291" width="4.75" style="313" customWidth="1"/>
    <col min="12292" max="12292" width="9.75" style="313" customWidth="1"/>
    <col min="12293" max="12293" width="9" style="313"/>
    <col min="12294" max="12294" width="5.875" style="313" customWidth="1"/>
    <col min="12295" max="12295" width="11.5" style="313" bestFit="1" customWidth="1"/>
    <col min="12296" max="12296" width="7" style="313" customWidth="1"/>
    <col min="12297" max="12299" width="0" style="313" hidden="1" customWidth="1"/>
    <col min="12300" max="12300" width="11" style="313" customWidth="1"/>
    <col min="12301" max="12301" width="5" style="313" customWidth="1"/>
    <col min="12302" max="12302" width="6.375" style="313" customWidth="1"/>
    <col min="12303" max="12303" width="0" style="313" hidden="1" customWidth="1"/>
    <col min="12304" max="12304" width="4.25" style="313" customWidth="1"/>
    <col min="12305" max="12305" width="9.125" style="313" bestFit="1" customWidth="1"/>
    <col min="12306" max="12544" width="9" style="313"/>
    <col min="12545" max="12545" width="11.25" style="313" customWidth="1"/>
    <col min="12546" max="12546" width="9" style="313"/>
    <col min="12547" max="12547" width="4.75" style="313" customWidth="1"/>
    <col min="12548" max="12548" width="9.75" style="313" customWidth="1"/>
    <col min="12549" max="12549" width="9" style="313"/>
    <col min="12550" max="12550" width="5.875" style="313" customWidth="1"/>
    <col min="12551" max="12551" width="11.5" style="313" bestFit="1" customWidth="1"/>
    <col min="12552" max="12552" width="7" style="313" customWidth="1"/>
    <col min="12553" max="12555" width="0" style="313" hidden="1" customWidth="1"/>
    <col min="12556" max="12556" width="11" style="313" customWidth="1"/>
    <col min="12557" max="12557" width="5" style="313" customWidth="1"/>
    <col min="12558" max="12558" width="6.375" style="313" customWidth="1"/>
    <col min="12559" max="12559" width="0" style="313" hidden="1" customWidth="1"/>
    <col min="12560" max="12560" width="4.25" style="313" customWidth="1"/>
    <col min="12561" max="12561" width="9.125" style="313" bestFit="1" customWidth="1"/>
    <col min="12562" max="12800" width="9" style="313"/>
    <col min="12801" max="12801" width="11.25" style="313" customWidth="1"/>
    <col min="12802" max="12802" width="9" style="313"/>
    <col min="12803" max="12803" width="4.75" style="313" customWidth="1"/>
    <col min="12804" max="12804" width="9.75" style="313" customWidth="1"/>
    <col min="12805" max="12805" width="9" style="313"/>
    <col min="12806" max="12806" width="5.875" style="313" customWidth="1"/>
    <col min="12807" max="12807" width="11.5" style="313" bestFit="1" customWidth="1"/>
    <col min="12808" max="12808" width="7" style="313" customWidth="1"/>
    <col min="12809" max="12811" width="0" style="313" hidden="1" customWidth="1"/>
    <col min="12812" max="12812" width="11" style="313" customWidth="1"/>
    <col min="12813" max="12813" width="5" style="313" customWidth="1"/>
    <col min="12814" max="12814" width="6.375" style="313" customWidth="1"/>
    <col min="12815" max="12815" width="0" style="313" hidden="1" customWidth="1"/>
    <col min="12816" max="12816" width="4.25" style="313" customWidth="1"/>
    <col min="12817" max="12817" width="9.125" style="313" bestFit="1" customWidth="1"/>
    <col min="12818" max="13056" width="9" style="313"/>
    <col min="13057" max="13057" width="11.25" style="313" customWidth="1"/>
    <col min="13058" max="13058" width="9" style="313"/>
    <col min="13059" max="13059" width="4.75" style="313" customWidth="1"/>
    <col min="13060" max="13060" width="9.75" style="313" customWidth="1"/>
    <col min="13061" max="13061" width="9" style="313"/>
    <col min="13062" max="13062" width="5.875" style="313" customWidth="1"/>
    <col min="13063" max="13063" width="11.5" style="313" bestFit="1" customWidth="1"/>
    <col min="13064" max="13064" width="7" style="313" customWidth="1"/>
    <col min="13065" max="13067" width="0" style="313" hidden="1" customWidth="1"/>
    <col min="13068" max="13068" width="11" style="313" customWidth="1"/>
    <col min="13069" max="13069" width="5" style="313" customWidth="1"/>
    <col min="13070" max="13070" width="6.375" style="313" customWidth="1"/>
    <col min="13071" max="13071" width="0" style="313" hidden="1" customWidth="1"/>
    <col min="13072" max="13072" width="4.25" style="313" customWidth="1"/>
    <col min="13073" max="13073" width="9.125" style="313" bestFit="1" customWidth="1"/>
    <col min="13074" max="13312" width="9" style="313"/>
    <col min="13313" max="13313" width="11.25" style="313" customWidth="1"/>
    <col min="13314" max="13314" width="9" style="313"/>
    <col min="13315" max="13315" width="4.75" style="313" customWidth="1"/>
    <col min="13316" max="13316" width="9.75" style="313" customWidth="1"/>
    <col min="13317" max="13317" width="9" style="313"/>
    <col min="13318" max="13318" width="5.875" style="313" customWidth="1"/>
    <col min="13319" max="13319" width="11.5" style="313" bestFit="1" customWidth="1"/>
    <col min="13320" max="13320" width="7" style="313" customWidth="1"/>
    <col min="13321" max="13323" width="0" style="313" hidden="1" customWidth="1"/>
    <col min="13324" max="13324" width="11" style="313" customWidth="1"/>
    <col min="13325" max="13325" width="5" style="313" customWidth="1"/>
    <col min="13326" max="13326" width="6.375" style="313" customWidth="1"/>
    <col min="13327" max="13327" width="0" style="313" hidden="1" customWidth="1"/>
    <col min="13328" max="13328" width="4.25" style="313" customWidth="1"/>
    <col min="13329" max="13329" width="9.125" style="313" bestFit="1" customWidth="1"/>
    <col min="13330" max="13568" width="9" style="313"/>
    <col min="13569" max="13569" width="11.25" style="313" customWidth="1"/>
    <col min="13570" max="13570" width="9" style="313"/>
    <col min="13571" max="13571" width="4.75" style="313" customWidth="1"/>
    <col min="13572" max="13572" width="9.75" style="313" customWidth="1"/>
    <col min="13573" max="13573" width="9" style="313"/>
    <col min="13574" max="13574" width="5.875" style="313" customWidth="1"/>
    <col min="13575" max="13575" width="11.5" style="313" bestFit="1" customWidth="1"/>
    <col min="13576" max="13576" width="7" style="313" customWidth="1"/>
    <col min="13577" max="13579" width="0" style="313" hidden="1" customWidth="1"/>
    <col min="13580" max="13580" width="11" style="313" customWidth="1"/>
    <col min="13581" max="13581" width="5" style="313" customWidth="1"/>
    <col min="13582" max="13582" width="6.375" style="313" customWidth="1"/>
    <col min="13583" max="13583" width="0" style="313" hidden="1" customWidth="1"/>
    <col min="13584" max="13584" width="4.25" style="313" customWidth="1"/>
    <col min="13585" max="13585" width="9.125" style="313" bestFit="1" customWidth="1"/>
    <col min="13586" max="13824" width="9" style="313"/>
    <col min="13825" max="13825" width="11.25" style="313" customWidth="1"/>
    <col min="13826" max="13826" width="9" style="313"/>
    <col min="13827" max="13827" width="4.75" style="313" customWidth="1"/>
    <col min="13828" max="13828" width="9.75" style="313" customWidth="1"/>
    <col min="13829" max="13829" width="9" style="313"/>
    <col min="13830" max="13830" width="5.875" style="313" customWidth="1"/>
    <col min="13831" max="13831" width="11.5" style="313" bestFit="1" customWidth="1"/>
    <col min="13832" max="13832" width="7" style="313" customWidth="1"/>
    <col min="13833" max="13835" width="0" style="313" hidden="1" customWidth="1"/>
    <col min="13836" max="13836" width="11" style="313" customWidth="1"/>
    <col min="13837" max="13837" width="5" style="313" customWidth="1"/>
    <col min="13838" max="13838" width="6.375" style="313" customWidth="1"/>
    <col min="13839" max="13839" width="0" style="313" hidden="1" customWidth="1"/>
    <col min="13840" max="13840" width="4.25" style="313" customWidth="1"/>
    <col min="13841" max="13841" width="9.125" style="313" bestFit="1" customWidth="1"/>
    <col min="13842" max="14080" width="9" style="313"/>
    <col min="14081" max="14081" width="11.25" style="313" customWidth="1"/>
    <col min="14082" max="14082" width="9" style="313"/>
    <col min="14083" max="14083" width="4.75" style="313" customWidth="1"/>
    <col min="14084" max="14084" width="9.75" style="313" customWidth="1"/>
    <col min="14085" max="14085" width="9" style="313"/>
    <col min="14086" max="14086" width="5.875" style="313" customWidth="1"/>
    <col min="14087" max="14087" width="11.5" style="313" bestFit="1" customWidth="1"/>
    <col min="14088" max="14088" width="7" style="313" customWidth="1"/>
    <col min="14089" max="14091" width="0" style="313" hidden="1" customWidth="1"/>
    <col min="14092" max="14092" width="11" style="313" customWidth="1"/>
    <col min="14093" max="14093" width="5" style="313" customWidth="1"/>
    <col min="14094" max="14094" width="6.375" style="313" customWidth="1"/>
    <col min="14095" max="14095" width="0" style="313" hidden="1" customWidth="1"/>
    <col min="14096" max="14096" width="4.25" style="313" customWidth="1"/>
    <col min="14097" max="14097" width="9.125" style="313" bestFit="1" customWidth="1"/>
    <col min="14098" max="14336" width="9" style="313"/>
    <col min="14337" max="14337" width="11.25" style="313" customWidth="1"/>
    <col min="14338" max="14338" width="9" style="313"/>
    <col min="14339" max="14339" width="4.75" style="313" customWidth="1"/>
    <col min="14340" max="14340" width="9.75" style="313" customWidth="1"/>
    <col min="14341" max="14341" width="9" style="313"/>
    <col min="14342" max="14342" width="5.875" style="313" customWidth="1"/>
    <col min="14343" max="14343" width="11.5" style="313" bestFit="1" customWidth="1"/>
    <col min="14344" max="14344" width="7" style="313" customWidth="1"/>
    <col min="14345" max="14347" width="0" style="313" hidden="1" customWidth="1"/>
    <col min="14348" max="14348" width="11" style="313" customWidth="1"/>
    <col min="14349" max="14349" width="5" style="313" customWidth="1"/>
    <col min="14350" max="14350" width="6.375" style="313" customWidth="1"/>
    <col min="14351" max="14351" width="0" style="313" hidden="1" customWidth="1"/>
    <col min="14352" max="14352" width="4.25" style="313" customWidth="1"/>
    <col min="14353" max="14353" width="9.125" style="313" bestFit="1" customWidth="1"/>
    <col min="14354" max="14592" width="9" style="313"/>
    <col min="14593" max="14593" width="11.25" style="313" customWidth="1"/>
    <col min="14594" max="14594" width="9" style="313"/>
    <col min="14595" max="14595" width="4.75" style="313" customWidth="1"/>
    <col min="14596" max="14596" width="9.75" style="313" customWidth="1"/>
    <col min="14597" max="14597" width="9" style="313"/>
    <col min="14598" max="14598" width="5.875" style="313" customWidth="1"/>
    <col min="14599" max="14599" width="11.5" style="313" bestFit="1" customWidth="1"/>
    <col min="14600" max="14600" width="7" style="313" customWidth="1"/>
    <col min="14601" max="14603" width="0" style="313" hidden="1" customWidth="1"/>
    <col min="14604" max="14604" width="11" style="313" customWidth="1"/>
    <col min="14605" max="14605" width="5" style="313" customWidth="1"/>
    <col min="14606" max="14606" width="6.375" style="313" customWidth="1"/>
    <col min="14607" max="14607" width="0" style="313" hidden="1" customWidth="1"/>
    <col min="14608" max="14608" width="4.25" style="313" customWidth="1"/>
    <col min="14609" max="14609" width="9.125" style="313" bestFit="1" customWidth="1"/>
    <col min="14610" max="14848" width="9" style="313"/>
    <col min="14849" max="14849" width="11.25" style="313" customWidth="1"/>
    <col min="14850" max="14850" width="9" style="313"/>
    <col min="14851" max="14851" width="4.75" style="313" customWidth="1"/>
    <col min="14852" max="14852" width="9.75" style="313" customWidth="1"/>
    <col min="14853" max="14853" width="9" style="313"/>
    <col min="14854" max="14854" width="5.875" style="313" customWidth="1"/>
    <col min="14855" max="14855" width="11.5" style="313" bestFit="1" customWidth="1"/>
    <col min="14856" max="14856" width="7" style="313" customWidth="1"/>
    <col min="14857" max="14859" width="0" style="313" hidden="1" customWidth="1"/>
    <col min="14860" max="14860" width="11" style="313" customWidth="1"/>
    <col min="14861" max="14861" width="5" style="313" customWidth="1"/>
    <col min="14862" max="14862" width="6.375" style="313" customWidth="1"/>
    <col min="14863" max="14863" width="0" style="313" hidden="1" customWidth="1"/>
    <col min="14864" max="14864" width="4.25" style="313" customWidth="1"/>
    <col min="14865" max="14865" width="9.125" style="313" bestFit="1" customWidth="1"/>
    <col min="14866" max="15104" width="9" style="313"/>
    <col min="15105" max="15105" width="11.25" style="313" customWidth="1"/>
    <col min="15106" max="15106" width="9" style="313"/>
    <col min="15107" max="15107" width="4.75" style="313" customWidth="1"/>
    <col min="15108" max="15108" width="9.75" style="313" customWidth="1"/>
    <col min="15109" max="15109" width="9" style="313"/>
    <col min="15110" max="15110" width="5.875" style="313" customWidth="1"/>
    <col min="15111" max="15111" width="11.5" style="313" bestFit="1" customWidth="1"/>
    <col min="15112" max="15112" width="7" style="313" customWidth="1"/>
    <col min="15113" max="15115" width="0" style="313" hidden="1" customWidth="1"/>
    <col min="15116" max="15116" width="11" style="313" customWidth="1"/>
    <col min="15117" max="15117" width="5" style="313" customWidth="1"/>
    <col min="15118" max="15118" width="6.375" style="313" customWidth="1"/>
    <col min="15119" max="15119" width="0" style="313" hidden="1" customWidth="1"/>
    <col min="15120" max="15120" width="4.25" style="313" customWidth="1"/>
    <col min="15121" max="15121" width="9.125" style="313" bestFit="1" customWidth="1"/>
    <col min="15122" max="15360" width="9" style="313"/>
    <col min="15361" max="15361" width="11.25" style="313" customWidth="1"/>
    <col min="15362" max="15362" width="9" style="313"/>
    <col min="15363" max="15363" width="4.75" style="313" customWidth="1"/>
    <col min="15364" max="15364" width="9.75" style="313" customWidth="1"/>
    <col min="15365" max="15365" width="9" style="313"/>
    <col min="15366" max="15366" width="5.875" style="313" customWidth="1"/>
    <col min="15367" max="15367" width="11.5" style="313" bestFit="1" customWidth="1"/>
    <col min="15368" max="15368" width="7" style="313" customWidth="1"/>
    <col min="15369" max="15371" width="0" style="313" hidden="1" customWidth="1"/>
    <col min="15372" max="15372" width="11" style="313" customWidth="1"/>
    <col min="15373" max="15373" width="5" style="313" customWidth="1"/>
    <col min="15374" max="15374" width="6.375" style="313" customWidth="1"/>
    <col min="15375" max="15375" width="0" style="313" hidden="1" customWidth="1"/>
    <col min="15376" max="15376" width="4.25" style="313" customWidth="1"/>
    <col min="15377" max="15377" width="9.125" style="313" bestFit="1" customWidth="1"/>
    <col min="15378" max="15616" width="9" style="313"/>
    <col min="15617" max="15617" width="11.25" style="313" customWidth="1"/>
    <col min="15618" max="15618" width="9" style="313"/>
    <col min="15619" max="15619" width="4.75" style="313" customWidth="1"/>
    <col min="15620" max="15620" width="9.75" style="313" customWidth="1"/>
    <col min="15621" max="15621" width="9" style="313"/>
    <col min="15622" max="15622" width="5.875" style="313" customWidth="1"/>
    <col min="15623" max="15623" width="11.5" style="313" bestFit="1" customWidth="1"/>
    <col min="15624" max="15624" width="7" style="313" customWidth="1"/>
    <col min="15625" max="15627" width="0" style="313" hidden="1" customWidth="1"/>
    <col min="15628" max="15628" width="11" style="313" customWidth="1"/>
    <col min="15629" max="15629" width="5" style="313" customWidth="1"/>
    <col min="15630" max="15630" width="6.375" style="313" customWidth="1"/>
    <col min="15631" max="15631" width="0" style="313" hidden="1" customWidth="1"/>
    <col min="15632" max="15632" width="4.25" style="313" customWidth="1"/>
    <col min="15633" max="15633" width="9.125" style="313" bestFit="1" customWidth="1"/>
    <col min="15634" max="15872" width="9" style="313"/>
    <col min="15873" max="15873" width="11.25" style="313" customWidth="1"/>
    <col min="15874" max="15874" width="9" style="313"/>
    <col min="15875" max="15875" width="4.75" style="313" customWidth="1"/>
    <col min="15876" max="15876" width="9.75" style="313" customWidth="1"/>
    <col min="15877" max="15877" width="9" style="313"/>
    <col min="15878" max="15878" width="5.875" style="313" customWidth="1"/>
    <col min="15879" max="15879" width="11.5" style="313" bestFit="1" customWidth="1"/>
    <col min="15880" max="15880" width="7" style="313" customWidth="1"/>
    <col min="15881" max="15883" width="0" style="313" hidden="1" customWidth="1"/>
    <col min="15884" max="15884" width="11" style="313" customWidth="1"/>
    <col min="15885" max="15885" width="5" style="313" customWidth="1"/>
    <col min="15886" max="15886" width="6.375" style="313" customWidth="1"/>
    <col min="15887" max="15887" width="0" style="313" hidden="1" customWidth="1"/>
    <col min="15888" max="15888" width="4.25" style="313" customWidth="1"/>
    <col min="15889" max="15889" width="9.125" style="313" bestFit="1" customWidth="1"/>
    <col min="15890" max="16128" width="9" style="313"/>
    <col min="16129" max="16129" width="11.25" style="313" customWidth="1"/>
    <col min="16130" max="16130" width="9" style="313"/>
    <col min="16131" max="16131" width="4.75" style="313" customWidth="1"/>
    <col min="16132" max="16132" width="9.75" style="313" customWidth="1"/>
    <col min="16133" max="16133" width="9" style="313"/>
    <col min="16134" max="16134" width="5.875" style="313" customWidth="1"/>
    <col min="16135" max="16135" width="11.5" style="313" bestFit="1" customWidth="1"/>
    <col min="16136" max="16136" width="7" style="313" customWidth="1"/>
    <col min="16137" max="16139" width="0" style="313" hidden="1" customWidth="1"/>
    <col min="16140" max="16140" width="11" style="313" customWidth="1"/>
    <col min="16141" max="16141" width="5" style="313" customWidth="1"/>
    <col min="16142" max="16142" width="6.375" style="313" customWidth="1"/>
    <col min="16143" max="16143" width="0" style="313" hidden="1" customWidth="1"/>
    <col min="16144" max="16144" width="4.25" style="313" customWidth="1"/>
    <col min="16145" max="16145" width="9.125" style="313" bestFit="1" customWidth="1"/>
    <col min="16146" max="16384" width="9" style="313"/>
  </cols>
  <sheetData>
    <row r="1" spans="1:13">
      <c r="A1" s="312" t="s">
        <v>0</v>
      </c>
      <c r="B1" s="312"/>
      <c r="C1" s="312"/>
      <c r="E1" s="314"/>
    </row>
    <row r="2" spans="1:13">
      <c r="E2" s="314"/>
      <c r="F2" s="313" t="s">
        <v>249</v>
      </c>
    </row>
    <row r="3" spans="1:13">
      <c r="A3" s="312" t="s">
        <v>189</v>
      </c>
      <c r="E3" s="314"/>
    </row>
    <row r="4" spans="1:13">
      <c r="E4" s="314"/>
      <c r="F4" s="313" t="s">
        <v>250</v>
      </c>
      <c r="I4" s="315"/>
    </row>
    <row r="5" spans="1:13">
      <c r="A5" s="316"/>
      <c r="B5" s="316"/>
      <c r="C5" s="316"/>
      <c r="D5" s="316"/>
      <c r="E5" s="317"/>
      <c r="F5" s="316"/>
      <c r="G5" s="316"/>
      <c r="H5" s="316"/>
      <c r="I5" s="316"/>
      <c r="J5" s="316"/>
      <c r="L5" s="411" t="s">
        <v>190</v>
      </c>
      <c r="M5" s="411"/>
    </row>
    <row r="6" spans="1:13">
      <c r="A6" s="312" t="s">
        <v>288</v>
      </c>
      <c r="B6" s="312"/>
      <c r="C6" s="312"/>
      <c r="D6" s="312"/>
      <c r="E6" s="312"/>
      <c r="F6" s="312"/>
      <c r="I6" s="412" t="s">
        <v>191</v>
      </c>
      <c r="J6" s="413"/>
      <c r="L6" s="414">
        <v>8918257.1600000001</v>
      </c>
      <c r="M6" s="415"/>
    </row>
    <row r="7" spans="1:13">
      <c r="A7" s="312" t="s">
        <v>192</v>
      </c>
      <c r="H7" s="314"/>
      <c r="I7" s="318"/>
      <c r="K7" s="319"/>
      <c r="L7" s="318"/>
    </row>
    <row r="8" spans="1:13">
      <c r="A8" s="313" t="s">
        <v>251</v>
      </c>
      <c r="I8" s="319"/>
      <c r="J8" s="318"/>
      <c r="L8" s="319"/>
      <c r="M8" s="318"/>
    </row>
    <row r="9" spans="1:13">
      <c r="A9" s="320"/>
      <c r="D9" s="320"/>
      <c r="G9" s="321"/>
      <c r="I9" s="319"/>
      <c r="J9" s="318"/>
      <c r="L9" s="319"/>
      <c r="M9" s="318"/>
    </row>
    <row r="10" spans="1:13">
      <c r="A10" s="320"/>
      <c r="D10" s="320"/>
      <c r="G10" s="322"/>
      <c r="I10" s="319"/>
      <c r="J10" s="318"/>
      <c r="L10" s="405">
        <f>G9</f>
        <v>0</v>
      </c>
      <c r="M10" s="406"/>
    </row>
    <row r="11" spans="1:13">
      <c r="A11" s="312" t="s">
        <v>194</v>
      </c>
      <c r="I11" s="319"/>
      <c r="J11" s="318"/>
      <c r="L11" s="319"/>
      <c r="M11" s="318"/>
    </row>
    <row r="12" spans="1:13">
      <c r="A12" s="313" t="s">
        <v>252</v>
      </c>
      <c r="I12" s="323">
        <v>7257493.21</v>
      </c>
      <c r="J12" s="318"/>
      <c r="L12" s="416"/>
      <c r="M12" s="417"/>
    </row>
    <row r="13" spans="1:13">
      <c r="A13" s="320" t="s">
        <v>277</v>
      </c>
      <c r="D13" s="313">
        <v>23868375</v>
      </c>
      <c r="G13" s="321">
        <v>12500</v>
      </c>
      <c r="I13" s="323"/>
      <c r="J13" s="318"/>
      <c r="L13" s="351"/>
      <c r="M13" s="352"/>
    </row>
    <row r="14" spans="1:13">
      <c r="A14" s="320" t="s">
        <v>289</v>
      </c>
      <c r="D14" s="313">
        <v>23868406</v>
      </c>
      <c r="G14" s="321">
        <v>2971.96</v>
      </c>
      <c r="I14" s="323"/>
      <c r="J14" s="318"/>
      <c r="L14" s="351"/>
      <c r="M14" s="352"/>
    </row>
    <row r="15" spans="1:13">
      <c r="A15" s="320" t="s">
        <v>289</v>
      </c>
      <c r="D15" s="313">
        <v>23868407</v>
      </c>
      <c r="G15" s="321">
        <v>1260</v>
      </c>
      <c r="I15" s="323"/>
      <c r="J15" s="318"/>
      <c r="L15" s="351"/>
      <c r="M15" s="352"/>
    </row>
    <row r="16" spans="1:13">
      <c r="A16" s="320" t="s">
        <v>290</v>
      </c>
      <c r="D16" s="313">
        <v>23868424</v>
      </c>
      <c r="G16" s="321">
        <v>3110</v>
      </c>
      <c r="I16" s="323"/>
      <c r="J16" s="318"/>
      <c r="L16" s="351"/>
      <c r="M16" s="352"/>
    </row>
    <row r="17" spans="1:13">
      <c r="A17" s="320" t="s">
        <v>290</v>
      </c>
      <c r="D17" s="313">
        <v>23868427</v>
      </c>
      <c r="G17" s="321">
        <v>3420</v>
      </c>
      <c r="I17" s="323"/>
      <c r="J17" s="318"/>
      <c r="L17" s="351"/>
      <c r="M17" s="352"/>
    </row>
    <row r="18" spans="1:13">
      <c r="A18" s="320" t="s">
        <v>291</v>
      </c>
      <c r="D18" s="313">
        <v>23868429</v>
      </c>
      <c r="G18" s="321">
        <v>317128</v>
      </c>
      <c r="I18" s="323"/>
      <c r="J18" s="318"/>
      <c r="L18" s="351"/>
      <c r="M18" s="352"/>
    </row>
    <row r="19" spans="1:13">
      <c r="A19" s="320" t="s">
        <v>291</v>
      </c>
      <c r="D19" s="313">
        <v>23868430</v>
      </c>
      <c r="G19" s="321">
        <v>2000</v>
      </c>
      <c r="I19" s="323"/>
      <c r="J19" s="318"/>
      <c r="L19" s="351"/>
      <c r="M19" s="352"/>
    </row>
    <row r="20" spans="1:13">
      <c r="A20" s="320" t="s">
        <v>292</v>
      </c>
      <c r="D20" s="313">
        <v>23868433</v>
      </c>
      <c r="G20" s="321">
        <v>16841.12</v>
      </c>
      <c r="I20" s="323"/>
      <c r="J20" s="318"/>
      <c r="L20" s="351"/>
      <c r="M20" s="352"/>
    </row>
    <row r="21" spans="1:13">
      <c r="A21" s="320" t="s">
        <v>292</v>
      </c>
      <c r="D21" s="313">
        <v>23868434</v>
      </c>
      <c r="G21" s="321">
        <v>2500</v>
      </c>
      <c r="I21" s="323"/>
      <c r="J21" s="318"/>
      <c r="L21" s="351"/>
      <c r="M21" s="352"/>
    </row>
    <row r="22" spans="1:13">
      <c r="A22" s="320" t="s">
        <v>293</v>
      </c>
      <c r="D22" s="313">
        <v>23868438</v>
      </c>
      <c r="G22" s="321">
        <v>3425</v>
      </c>
      <c r="I22" s="323"/>
      <c r="J22" s="318"/>
      <c r="L22" s="351"/>
      <c r="M22" s="352"/>
    </row>
    <row r="23" spans="1:13">
      <c r="A23" s="320" t="s">
        <v>293</v>
      </c>
      <c r="D23" s="313">
        <v>23868439</v>
      </c>
      <c r="G23" s="321">
        <v>12082.95</v>
      </c>
      <c r="I23" s="323"/>
      <c r="J23" s="318"/>
      <c r="L23" s="351"/>
      <c r="M23" s="352"/>
    </row>
    <row r="24" spans="1:13">
      <c r="A24" s="320" t="s">
        <v>293</v>
      </c>
      <c r="D24" s="313">
        <v>23868440</v>
      </c>
      <c r="G24" s="321">
        <v>44000</v>
      </c>
      <c r="I24" s="323"/>
      <c r="J24" s="318"/>
      <c r="L24" s="351"/>
      <c r="M24" s="352"/>
    </row>
    <row r="25" spans="1:13">
      <c r="A25" s="320" t="s">
        <v>293</v>
      </c>
      <c r="D25" s="313">
        <v>23868441</v>
      </c>
      <c r="G25" s="321">
        <v>176000</v>
      </c>
      <c r="I25" s="323"/>
      <c r="J25" s="318"/>
      <c r="L25" s="351"/>
      <c r="M25" s="352"/>
    </row>
    <row r="26" spans="1:13">
      <c r="A26" s="320" t="s">
        <v>293</v>
      </c>
      <c r="D26" s="313">
        <v>23868442</v>
      </c>
      <c r="G26" s="321">
        <v>67000</v>
      </c>
      <c r="I26" s="323"/>
      <c r="J26" s="318"/>
      <c r="L26" s="351"/>
      <c r="M26" s="352"/>
    </row>
    <row r="27" spans="1:13">
      <c r="A27" s="320" t="s">
        <v>293</v>
      </c>
      <c r="D27" s="313">
        <v>23868444</v>
      </c>
      <c r="G27" s="321">
        <v>5900</v>
      </c>
      <c r="I27" s="323"/>
      <c r="J27" s="318"/>
      <c r="L27" s="351"/>
      <c r="M27" s="352"/>
    </row>
    <row r="28" spans="1:13">
      <c r="A28" s="320" t="s">
        <v>293</v>
      </c>
      <c r="D28" s="313">
        <v>23868445</v>
      </c>
      <c r="G28" s="321">
        <v>3500</v>
      </c>
      <c r="I28" s="323"/>
      <c r="J28" s="318"/>
      <c r="L28" s="351"/>
      <c r="M28" s="352"/>
    </row>
    <row r="29" spans="1:13">
      <c r="A29" s="320" t="s">
        <v>293</v>
      </c>
      <c r="D29" s="313">
        <v>23868446</v>
      </c>
      <c r="G29" s="321">
        <v>5450</v>
      </c>
      <c r="I29" s="323"/>
      <c r="J29" s="318"/>
      <c r="L29" s="351"/>
      <c r="M29" s="352"/>
    </row>
    <row r="30" spans="1:13">
      <c r="A30" s="320" t="s">
        <v>293</v>
      </c>
      <c r="D30" s="313">
        <v>23868447</v>
      </c>
      <c r="G30" s="321">
        <v>1200</v>
      </c>
      <c r="I30" s="323"/>
      <c r="J30" s="318"/>
      <c r="L30" s="351"/>
      <c r="M30" s="352"/>
    </row>
    <row r="31" spans="1:13">
      <c r="A31" s="320" t="s">
        <v>293</v>
      </c>
      <c r="D31" s="313">
        <v>23868448</v>
      </c>
      <c r="G31" s="321">
        <v>2400</v>
      </c>
      <c r="I31" s="323"/>
      <c r="J31" s="318"/>
      <c r="L31" s="351"/>
      <c r="M31" s="352"/>
    </row>
    <row r="32" spans="1:13">
      <c r="A32" s="320" t="s">
        <v>293</v>
      </c>
      <c r="D32" s="313">
        <v>23868449</v>
      </c>
      <c r="G32" s="321">
        <v>1900</v>
      </c>
      <c r="I32" s="323"/>
      <c r="J32" s="318"/>
      <c r="L32" s="351"/>
      <c r="M32" s="352"/>
    </row>
    <row r="33" spans="1:13">
      <c r="A33" s="320" t="s">
        <v>293</v>
      </c>
      <c r="D33" s="313">
        <v>23868450</v>
      </c>
      <c r="G33" s="321">
        <v>21544</v>
      </c>
      <c r="I33" s="323"/>
      <c r="J33" s="318"/>
      <c r="L33" s="351"/>
      <c r="M33" s="352"/>
    </row>
    <row r="34" spans="1:13">
      <c r="A34" s="320" t="s">
        <v>293</v>
      </c>
      <c r="D34" s="313">
        <v>23868451</v>
      </c>
      <c r="G34" s="321">
        <v>69934</v>
      </c>
      <c r="I34" s="323"/>
      <c r="J34" s="318"/>
      <c r="L34" s="351"/>
      <c r="M34" s="352"/>
    </row>
    <row r="35" spans="1:13">
      <c r="A35" s="320" t="s">
        <v>293</v>
      </c>
      <c r="D35" s="313">
        <v>23868452</v>
      </c>
      <c r="G35" s="321">
        <v>3500</v>
      </c>
      <c r="I35" s="323"/>
      <c r="J35" s="318"/>
      <c r="L35" s="351"/>
      <c r="M35" s="352"/>
    </row>
    <row r="36" spans="1:13">
      <c r="A36" s="320" t="s">
        <v>293</v>
      </c>
      <c r="D36" s="313">
        <v>23868453</v>
      </c>
      <c r="G36" s="321">
        <v>3000</v>
      </c>
      <c r="I36" s="323"/>
      <c r="J36" s="318"/>
      <c r="L36" s="351"/>
      <c r="M36" s="352"/>
    </row>
    <row r="37" spans="1:13">
      <c r="A37" s="320"/>
      <c r="G37" s="321"/>
      <c r="I37" s="323"/>
      <c r="J37" s="318"/>
      <c r="L37" s="351"/>
      <c r="M37" s="352"/>
    </row>
    <row r="38" spans="1:13">
      <c r="A38" s="418" t="s">
        <v>294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</row>
    <row r="39" spans="1:13">
      <c r="A39" s="360"/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</row>
    <row r="40" spans="1:13">
      <c r="A40" s="320"/>
      <c r="G40" s="321"/>
      <c r="I40" s="323"/>
      <c r="J40" s="318"/>
      <c r="L40" s="351"/>
      <c r="M40" s="352"/>
    </row>
    <row r="41" spans="1:13">
      <c r="A41" s="320" t="s">
        <v>293</v>
      </c>
      <c r="D41" s="313">
        <v>23868454</v>
      </c>
      <c r="G41" s="321">
        <v>3000</v>
      </c>
      <c r="I41" s="323"/>
      <c r="J41" s="318"/>
      <c r="L41" s="351"/>
      <c r="M41" s="352"/>
    </row>
    <row r="42" spans="1:13">
      <c r="A42" s="320" t="s">
        <v>293</v>
      </c>
      <c r="D42" s="313">
        <v>23868455</v>
      </c>
      <c r="G42" s="321">
        <v>3000</v>
      </c>
      <c r="I42" s="319"/>
      <c r="J42" s="318"/>
      <c r="L42" s="405">
        <f>SUM(G13:G42)</f>
        <v>788567.03</v>
      </c>
      <c r="M42" s="406"/>
    </row>
    <row r="43" spans="1:13">
      <c r="A43" s="312" t="s">
        <v>196</v>
      </c>
      <c r="D43" s="320"/>
      <c r="G43" s="324"/>
      <c r="I43" s="318"/>
      <c r="J43" s="318"/>
      <c r="L43" s="350"/>
      <c r="M43" s="325"/>
    </row>
    <row r="44" spans="1:13">
      <c r="A44" s="326" t="s">
        <v>197</v>
      </c>
      <c r="D44" s="320"/>
      <c r="G44" s="324"/>
      <c r="I44" s="318"/>
      <c r="J44" s="318"/>
      <c r="L44" s="350"/>
      <c r="M44" s="325"/>
    </row>
    <row r="45" spans="1:13">
      <c r="A45" s="313" t="s">
        <v>251</v>
      </c>
      <c r="D45" s="320"/>
      <c r="G45" s="324"/>
      <c r="I45" s="318"/>
      <c r="J45" s="318"/>
      <c r="L45" s="350"/>
      <c r="M45" s="325"/>
    </row>
    <row r="46" spans="1:13">
      <c r="D46" s="320"/>
      <c r="G46" s="324"/>
      <c r="I46" s="318"/>
      <c r="J46" s="318"/>
      <c r="L46" s="350"/>
      <c r="M46" s="325"/>
    </row>
    <row r="47" spans="1:13">
      <c r="A47" s="332"/>
      <c r="D47" s="332"/>
      <c r="G47" s="324"/>
      <c r="I47" s="318"/>
      <c r="J47" s="318"/>
      <c r="L47" s="350"/>
      <c r="M47" s="325"/>
    </row>
    <row r="48" spans="1:13">
      <c r="A48" s="320"/>
      <c r="D48" s="320"/>
      <c r="G48" s="324"/>
      <c r="I48" s="318"/>
      <c r="J48" s="318"/>
      <c r="L48" s="407">
        <f>SUM(G47:G48)</f>
        <v>0</v>
      </c>
      <c r="M48" s="408"/>
    </row>
    <row r="49" spans="1:17">
      <c r="A49" s="327" t="s">
        <v>295</v>
      </c>
      <c r="B49" s="316"/>
      <c r="C49" s="316"/>
      <c r="D49" s="316"/>
      <c r="E49" s="316"/>
      <c r="F49" s="316"/>
      <c r="G49" s="316"/>
      <c r="H49" s="317"/>
      <c r="I49" s="328">
        <v>7256974.21</v>
      </c>
      <c r="J49" s="318"/>
      <c r="L49" s="409">
        <f>L6+L10-L42-L48</f>
        <v>8129690.1299999999</v>
      </c>
      <c r="M49" s="410"/>
      <c r="Q49" s="329"/>
    </row>
    <row r="50" spans="1:17">
      <c r="A50" s="312" t="s">
        <v>158</v>
      </c>
      <c r="F50" s="319" t="s">
        <v>253</v>
      </c>
      <c r="I50" s="318"/>
      <c r="J50" s="316"/>
    </row>
    <row r="51" spans="1:17">
      <c r="F51" s="319"/>
      <c r="J51" s="318"/>
    </row>
    <row r="52" spans="1:17">
      <c r="A52" s="312" t="s">
        <v>254</v>
      </c>
      <c r="D52" s="312" t="s">
        <v>296</v>
      </c>
      <c r="F52" s="330" t="s">
        <v>255</v>
      </c>
      <c r="L52" s="312" t="str">
        <f>D52</f>
        <v>วันที่ 30 พ.ย. 2560</v>
      </c>
    </row>
    <row r="53" spans="1:17">
      <c r="A53" s="327" t="s">
        <v>256</v>
      </c>
      <c r="B53" s="316"/>
      <c r="C53" s="316"/>
      <c r="D53" s="316"/>
      <c r="E53" s="316"/>
      <c r="F53" s="331" t="s">
        <v>257</v>
      </c>
      <c r="G53" s="316"/>
      <c r="H53" s="316"/>
      <c r="I53" s="316"/>
      <c r="J53" s="316"/>
      <c r="K53" s="316"/>
      <c r="L53" s="316"/>
      <c r="M53" s="316"/>
    </row>
    <row r="54" spans="1:17">
      <c r="A54" s="318"/>
    </row>
    <row r="55" spans="1:17">
      <c r="A55" s="318"/>
    </row>
  </sheetData>
  <mergeCells count="9">
    <mergeCell ref="L42:M42"/>
    <mergeCell ref="L48:M48"/>
    <mergeCell ref="L49:M49"/>
    <mergeCell ref="L5:M5"/>
    <mergeCell ref="I6:J6"/>
    <mergeCell ref="L6:M6"/>
    <mergeCell ref="L10:M10"/>
    <mergeCell ref="L12:M12"/>
    <mergeCell ref="A38:M38"/>
  </mergeCells>
  <pageMargins left="1.0236220472440944" right="0.23622047244094491" top="0.11811023622047245" bottom="0" header="0.51181102362204722" footer="0.15748031496062992"/>
  <pageSetup paperSize="9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workbookViewId="0">
      <selection activeCell="G14" sqref="G14"/>
    </sheetView>
  </sheetViews>
  <sheetFormatPr defaultRowHeight="24"/>
  <cols>
    <col min="1" max="1" width="11.25" style="230" customWidth="1"/>
    <col min="2" max="2" width="9" style="230"/>
    <col min="3" max="3" width="3.5" style="230" customWidth="1"/>
    <col min="4" max="4" width="9.75" style="230" customWidth="1"/>
    <col min="5" max="5" width="6.25" style="230" customWidth="1"/>
    <col min="6" max="6" width="5.875" style="230" customWidth="1"/>
    <col min="7" max="7" width="12.625" style="230" bestFit="1" customWidth="1"/>
    <col min="8" max="8" width="6.625" style="230" customWidth="1"/>
    <col min="9" max="9" width="15.125" style="230" hidden="1" customWidth="1"/>
    <col min="10" max="10" width="12.5" style="230" hidden="1" customWidth="1"/>
    <col min="11" max="11" width="9.375" style="230" hidden="1" customWidth="1"/>
    <col min="12" max="12" width="12.75" style="230" customWidth="1"/>
    <col min="13" max="13" width="5" style="230" customWidth="1"/>
    <col min="14" max="14" width="6.375" style="230" customWidth="1"/>
    <col min="15" max="15" width="8" style="230" hidden="1" customWidth="1"/>
    <col min="16" max="16" width="4.25" style="230" customWidth="1"/>
    <col min="17" max="17" width="9.125" style="230" bestFit="1" customWidth="1"/>
    <col min="18" max="256" width="9" style="230"/>
    <col min="257" max="257" width="11.25" style="230" customWidth="1"/>
    <col min="258" max="258" width="9" style="230"/>
    <col min="259" max="259" width="4.75" style="230" customWidth="1"/>
    <col min="260" max="260" width="9.75" style="230" customWidth="1"/>
    <col min="261" max="261" width="9" style="230"/>
    <col min="262" max="262" width="5.875" style="230" customWidth="1"/>
    <col min="263" max="263" width="11.5" style="230" bestFit="1" customWidth="1"/>
    <col min="264" max="264" width="7" style="230" customWidth="1"/>
    <col min="265" max="267" width="0" style="230" hidden="1" customWidth="1"/>
    <col min="268" max="268" width="11" style="230" customWidth="1"/>
    <col min="269" max="269" width="5" style="230" customWidth="1"/>
    <col min="270" max="270" width="6.375" style="230" customWidth="1"/>
    <col min="271" max="271" width="0" style="230" hidden="1" customWidth="1"/>
    <col min="272" max="272" width="4.25" style="230" customWidth="1"/>
    <col min="273" max="273" width="9.125" style="230" bestFit="1" customWidth="1"/>
    <col min="274" max="512" width="9" style="230"/>
    <col min="513" max="513" width="11.25" style="230" customWidth="1"/>
    <col min="514" max="514" width="9" style="230"/>
    <col min="515" max="515" width="4.75" style="230" customWidth="1"/>
    <col min="516" max="516" width="9.75" style="230" customWidth="1"/>
    <col min="517" max="517" width="9" style="230"/>
    <col min="518" max="518" width="5.875" style="230" customWidth="1"/>
    <col min="519" max="519" width="11.5" style="230" bestFit="1" customWidth="1"/>
    <col min="520" max="520" width="7" style="230" customWidth="1"/>
    <col min="521" max="523" width="0" style="230" hidden="1" customWidth="1"/>
    <col min="524" max="524" width="11" style="230" customWidth="1"/>
    <col min="525" max="525" width="5" style="230" customWidth="1"/>
    <col min="526" max="526" width="6.375" style="230" customWidth="1"/>
    <col min="527" max="527" width="0" style="230" hidden="1" customWidth="1"/>
    <col min="528" max="528" width="4.25" style="230" customWidth="1"/>
    <col min="529" max="529" width="9.125" style="230" bestFit="1" customWidth="1"/>
    <col min="530" max="768" width="9" style="230"/>
    <col min="769" max="769" width="11.25" style="230" customWidth="1"/>
    <col min="770" max="770" width="9" style="230"/>
    <col min="771" max="771" width="4.75" style="230" customWidth="1"/>
    <col min="772" max="772" width="9.75" style="230" customWidth="1"/>
    <col min="773" max="773" width="9" style="230"/>
    <col min="774" max="774" width="5.875" style="230" customWidth="1"/>
    <col min="775" max="775" width="11.5" style="230" bestFit="1" customWidth="1"/>
    <col min="776" max="776" width="7" style="230" customWidth="1"/>
    <col min="777" max="779" width="0" style="230" hidden="1" customWidth="1"/>
    <col min="780" max="780" width="11" style="230" customWidth="1"/>
    <col min="781" max="781" width="5" style="230" customWidth="1"/>
    <col min="782" max="782" width="6.375" style="230" customWidth="1"/>
    <col min="783" max="783" width="0" style="230" hidden="1" customWidth="1"/>
    <col min="784" max="784" width="4.25" style="230" customWidth="1"/>
    <col min="785" max="785" width="9.125" style="230" bestFit="1" customWidth="1"/>
    <col min="786" max="1024" width="9" style="230"/>
    <col min="1025" max="1025" width="11.25" style="230" customWidth="1"/>
    <col min="1026" max="1026" width="9" style="230"/>
    <col min="1027" max="1027" width="4.75" style="230" customWidth="1"/>
    <col min="1028" max="1028" width="9.75" style="230" customWidth="1"/>
    <col min="1029" max="1029" width="9" style="230"/>
    <col min="1030" max="1030" width="5.875" style="230" customWidth="1"/>
    <col min="1031" max="1031" width="11.5" style="230" bestFit="1" customWidth="1"/>
    <col min="1032" max="1032" width="7" style="230" customWidth="1"/>
    <col min="1033" max="1035" width="0" style="230" hidden="1" customWidth="1"/>
    <col min="1036" max="1036" width="11" style="230" customWidth="1"/>
    <col min="1037" max="1037" width="5" style="230" customWidth="1"/>
    <col min="1038" max="1038" width="6.375" style="230" customWidth="1"/>
    <col min="1039" max="1039" width="0" style="230" hidden="1" customWidth="1"/>
    <col min="1040" max="1040" width="4.25" style="230" customWidth="1"/>
    <col min="1041" max="1041" width="9.125" style="230" bestFit="1" customWidth="1"/>
    <col min="1042" max="1280" width="9" style="230"/>
    <col min="1281" max="1281" width="11.25" style="230" customWidth="1"/>
    <col min="1282" max="1282" width="9" style="230"/>
    <col min="1283" max="1283" width="4.75" style="230" customWidth="1"/>
    <col min="1284" max="1284" width="9.75" style="230" customWidth="1"/>
    <col min="1285" max="1285" width="9" style="230"/>
    <col min="1286" max="1286" width="5.875" style="230" customWidth="1"/>
    <col min="1287" max="1287" width="11.5" style="230" bestFit="1" customWidth="1"/>
    <col min="1288" max="1288" width="7" style="230" customWidth="1"/>
    <col min="1289" max="1291" width="0" style="230" hidden="1" customWidth="1"/>
    <col min="1292" max="1292" width="11" style="230" customWidth="1"/>
    <col min="1293" max="1293" width="5" style="230" customWidth="1"/>
    <col min="1294" max="1294" width="6.375" style="230" customWidth="1"/>
    <col min="1295" max="1295" width="0" style="230" hidden="1" customWidth="1"/>
    <col min="1296" max="1296" width="4.25" style="230" customWidth="1"/>
    <col min="1297" max="1297" width="9.125" style="230" bestFit="1" customWidth="1"/>
    <col min="1298" max="1536" width="9" style="230"/>
    <col min="1537" max="1537" width="11.25" style="230" customWidth="1"/>
    <col min="1538" max="1538" width="9" style="230"/>
    <col min="1539" max="1539" width="4.75" style="230" customWidth="1"/>
    <col min="1540" max="1540" width="9.75" style="230" customWidth="1"/>
    <col min="1541" max="1541" width="9" style="230"/>
    <col min="1542" max="1542" width="5.875" style="230" customWidth="1"/>
    <col min="1543" max="1543" width="11.5" style="230" bestFit="1" customWidth="1"/>
    <col min="1544" max="1544" width="7" style="230" customWidth="1"/>
    <col min="1545" max="1547" width="0" style="230" hidden="1" customWidth="1"/>
    <col min="1548" max="1548" width="11" style="230" customWidth="1"/>
    <col min="1549" max="1549" width="5" style="230" customWidth="1"/>
    <col min="1550" max="1550" width="6.375" style="230" customWidth="1"/>
    <col min="1551" max="1551" width="0" style="230" hidden="1" customWidth="1"/>
    <col min="1552" max="1552" width="4.25" style="230" customWidth="1"/>
    <col min="1553" max="1553" width="9.125" style="230" bestFit="1" customWidth="1"/>
    <col min="1554" max="1792" width="9" style="230"/>
    <col min="1793" max="1793" width="11.25" style="230" customWidth="1"/>
    <col min="1794" max="1794" width="9" style="230"/>
    <col min="1795" max="1795" width="4.75" style="230" customWidth="1"/>
    <col min="1796" max="1796" width="9.75" style="230" customWidth="1"/>
    <col min="1797" max="1797" width="9" style="230"/>
    <col min="1798" max="1798" width="5.875" style="230" customWidth="1"/>
    <col min="1799" max="1799" width="11.5" style="230" bestFit="1" customWidth="1"/>
    <col min="1800" max="1800" width="7" style="230" customWidth="1"/>
    <col min="1801" max="1803" width="0" style="230" hidden="1" customWidth="1"/>
    <col min="1804" max="1804" width="11" style="230" customWidth="1"/>
    <col min="1805" max="1805" width="5" style="230" customWidth="1"/>
    <col min="1806" max="1806" width="6.375" style="230" customWidth="1"/>
    <col min="1807" max="1807" width="0" style="230" hidden="1" customWidth="1"/>
    <col min="1808" max="1808" width="4.25" style="230" customWidth="1"/>
    <col min="1809" max="1809" width="9.125" style="230" bestFit="1" customWidth="1"/>
    <col min="1810" max="2048" width="9" style="230"/>
    <col min="2049" max="2049" width="11.25" style="230" customWidth="1"/>
    <col min="2050" max="2050" width="9" style="230"/>
    <col min="2051" max="2051" width="4.75" style="230" customWidth="1"/>
    <col min="2052" max="2052" width="9.75" style="230" customWidth="1"/>
    <col min="2053" max="2053" width="9" style="230"/>
    <col min="2054" max="2054" width="5.875" style="230" customWidth="1"/>
    <col min="2055" max="2055" width="11.5" style="230" bestFit="1" customWidth="1"/>
    <col min="2056" max="2056" width="7" style="230" customWidth="1"/>
    <col min="2057" max="2059" width="0" style="230" hidden="1" customWidth="1"/>
    <col min="2060" max="2060" width="11" style="230" customWidth="1"/>
    <col min="2061" max="2061" width="5" style="230" customWidth="1"/>
    <col min="2062" max="2062" width="6.375" style="230" customWidth="1"/>
    <col min="2063" max="2063" width="0" style="230" hidden="1" customWidth="1"/>
    <col min="2064" max="2064" width="4.25" style="230" customWidth="1"/>
    <col min="2065" max="2065" width="9.125" style="230" bestFit="1" customWidth="1"/>
    <col min="2066" max="2304" width="9" style="230"/>
    <col min="2305" max="2305" width="11.25" style="230" customWidth="1"/>
    <col min="2306" max="2306" width="9" style="230"/>
    <col min="2307" max="2307" width="4.75" style="230" customWidth="1"/>
    <col min="2308" max="2308" width="9.75" style="230" customWidth="1"/>
    <col min="2309" max="2309" width="9" style="230"/>
    <col min="2310" max="2310" width="5.875" style="230" customWidth="1"/>
    <col min="2311" max="2311" width="11.5" style="230" bestFit="1" customWidth="1"/>
    <col min="2312" max="2312" width="7" style="230" customWidth="1"/>
    <col min="2313" max="2315" width="0" style="230" hidden="1" customWidth="1"/>
    <col min="2316" max="2316" width="11" style="230" customWidth="1"/>
    <col min="2317" max="2317" width="5" style="230" customWidth="1"/>
    <col min="2318" max="2318" width="6.375" style="230" customWidth="1"/>
    <col min="2319" max="2319" width="0" style="230" hidden="1" customWidth="1"/>
    <col min="2320" max="2320" width="4.25" style="230" customWidth="1"/>
    <col min="2321" max="2321" width="9.125" style="230" bestFit="1" customWidth="1"/>
    <col min="2322" max="2560" width="9" style="230"/>
    <col min="2561" max="2561" width="11.25" style="230" customWidth="1"/>
    <col min="2562" max="2562" width="9" style="230"/>
    <col min="2563" max="2563" width="4.75" style="230" customWidth="1"/>
    <col min="2564" max="2564" width="9.75" style="230" customWidth="1"/>
    <col min="2565" max="2565" width="9" style="230"/>
    <col min="2566" max="2566" width="5.875" style="230" customWidth="1"/>
    <col min="2567" max="2567" width="11.5" style="230" bestFit="1" customWidth="1"/>
    <col min="2568" max="2568" width="7" style="230" customWidth="1"/>
    <col min="2569" max="2571" width="0" style="230" hidden="1" customWidth="1"/>
    <col min="2572" max="2572" width="11" style="230" customWidth="1"/>
    <col min="2573" max="2573" width="5" style="230" customWidth="1"/>
    <col min="2574" max="2574" width="6.375" style="230" customWidth="1"/>
    <col min="2575" max="2575" width="0" style="230" hidden="1" customWidth="1"/>
    <col min="2576" max="2576" width="4.25" style="230" customWidth="1"/>
    <col min="2577" max="2577" width="9.125" style="230" bestFit="1" customWidth="1"/>
    <col min="2578" max="2816" width="9" style="230"/>
    <col min="2817" max="2817" width="11.25" style="230" customWidth="1"/>
    <col min="2818" max="2818" width="9" style="230"/>
    <col min="2819" max="2819" width="4.75" style="230" customWidth="1"/>
    <col min="2820" max="2820" width="9.75" style="230" customWidth="1"/>
    <col min="2821" max="2821" width="9" style="230"/>
    <col min="2822" max="2822" width="5.875" style="230" customWidth="1"/>
    <col min="2823" max="2823" width="11.5" style="230" bestFit="1" customWidth="1"/>
    <col min="2824" max="2824" width="7" style="230" customWidth="1"/>
    <col min="2825" max="2827" width="0" style="230" hidden="1" customWidth="1"/>
    <col min="2828" max="2828" width="11" style="230" customWidth="1"/>
    <col min="2829" max="2829" width="5" style="230" customWidth="1"/>
    <col min="2830" max="2830" width="6.375" style="230" customWidth="1"/>
    <col min="2831" max="2831" width="0" style="230" hidden="1" customWidth="1"/>
    <col min="2832" max="2832" width="4.25" style="230" customWidth="1"/>
    <col min="2833" max="2833" width="9.125" style="230" bestFit="1" customWidth="1"/>
    <col min="2834" max="3072" width="9" style="230"/>
    <col min="3073" max="3073" width="11.25" style="230" customWidth="1"/>
    <col min="3074" max="3074" width="9" style="230"/>
    <col min="3075" max="3075" width="4.75" style="230" customWidth="1"/>
    <col min="3076" max="3076" width="9.75" style="230" customWidth="1"/>
    <col min="3077" max="3077" width="9" style="230"/>
    <col min="3078" max="3078" width="5.875" style="230" customWidth="1"/>
    <col min="3079" max="3079" width="11.5" style="230" bestFit="1" customWidth="1"/>
    <col min="3080" max="3080" width="7" style="230" customWidth="1"/>
    <col min="3081" max="3083" width="0" style="230" hidden="1" customWidth="1"/>
    <col min="3084" max="3084" width="11" style="230" customWidth="1"/>
    <col min="3085" max="3085" width="5" style="230" customWidth="1"/>
    <col min="3086" max="3086" width="6.375" style="230" customWidth="1"/>
    <col min="3087" max="3087" width="0" style="230" hidden="1" customWidth="1"/>
    <col min="3088" max="3088" width="4.25" style="230" customWidth="1"/>
    <col min="3089" max="3089" width="9.125" style="230" bestFit="1" customWidth="1"/>
    <col min="3090" max="3328" width="9" style="230"/>
    <col min="3329" max="3329" width="11.25" style="230" customWidth="1"/>
    <col min="3330" max="3330" width="9" style="230"/>
    <col min="3331" max="3331" width="4.75" style="230" customWidth="1"/>
    <col min="3332" max="3332" width="9.75" style="230" customWidth="1"/>
    <col min="3333" max="3333" width="9" style="230"/>
    <col min="3334" max="3334" width="5.875" style="230" customWidth="1"/>
    <col min="3335" max="3335" width="11.5" style="230" bestFit="1" customWidth="1"/>
    <col min="3336" max="3336" width="7" style="230" customWidth="1"/>
    <col min="3337" max="3339" width="0" style="230" hidden="1" customWidth="1"/>
    <col min="3340" max="3340" width="11" style="230" customWidth="1"/>
    <col min="3341" max="3341" width="5" style="230" customWidth="1"/>
    <col min="3342" max="3342" width="6.375" style="230" customWidth="1"/>
    <col min="3343" max="3343" width="0" style="230" hidden="1" customWidth="1"/>
    <col min="3344" max="3344" width="4.25" style="230" customWidth="1"/>
    <col min="3345" max="3345" width="9.125" style="230" bestFit="1" customWidth="1"/>
    <col min="3346" max="3584" width="9" style="230"/>
    <col min="3585" max="3585" width="11.25" style="230" customWidth="1"/>
    <col min="3586" max="3586" width="9" style="230"/>
    <col min="3587" max="3587" width="4.75" style="230" customWidth="1"/>
    <col min="3588" max="3588" width="9.75" style="230" customWidth="1"/>
    <col min="3589" max="3589" width="9" style="230"/>
    <col min="3590" max="3590" width="5.875" style="230" customWidth="1"/>
    <col min="3591" max="3591" width="11.5" style="230" bestFit="1" customWidth="1"/>
    <col min="3592" max="3592" width="7" style="230" customWidth="1"/>
    <col min="3593" max="3595" width="0" style="230" hidden="1" customWidth="1"/>
    <col min="3596" max="3596" width="11" style="230" customWidth="1"/>
    <col min="3597" max="3597" width="5" style="230" customWidth="1"/>
    <col min="3598" max="3598" width="6.375" style="230" customWidth="1"/>
    <col min="3599" max="3599" width="0" style="230" hidden="1" customWidth="1"/>
    <col min="3600" max="3600" width="4.25" style="230" customWidth="1"/>
    <col min="3601" max="3601" width="9.125" style="230" bestFit="1" customWidth="1"/>
    <col min="3602" max="3840" width="9" style="230"/>
    <col min="3841" max="3841" width="11.25" style="230" customWidth="1"/>
    <col min="3842" max="3842" width="9" style="230"/>
    <col min="3843" max="3843" width="4.75" style="230" customWidth="1"/>
    <col min="3844" max="3844" width="9.75" style="230" customWidth="1"/>
    <col min="3845" max="3845" width="9" style="230"/>
    <col min="3846" max="3846" width="5.875" style="230" customWidth="1"/>
    <col min="3847" max="3847" width="11.5" style="230" bestFit="1" customWidth="1"/>
    <col min="3848" max="3848" width="7" style="230" customWidth="1"/>
    <col min="3849" max="3851" width="0" style="230" hidden="1" customWidth="1"/>
    <col min="3852" max="3852" width="11" style="230" customWidth="1"/>
    <col min="3853" max="3853" width="5" style="230" customWidth="1"/>
    <col min="3854" max="3854" width="6.375" style="230" customWidth="1"/>
    <col min="3855" max="3855" width="0" style="230" hidden="1" customWidth="1"/>
    <col min="3856" max="3856" width="4.25" style="230" customWidth="1"/>
    <col min="3857" max="3857" width="9.125" style="230" bestFit="1" customWidth="1"/>
    <col min="3858" max="4096" width="9" style="230"/>
    <col min="4097" max="4097" width="11.25" style="230" customWidth="1"/>
    <col min="4098" max="4098" width="9" style="230"/>
    <col min="4099" max="4099" width="4.75" style="230" customWidth="1"/>
    <col min="4100" max="4100" width="9.75" style="230" customWidth="1"/>
    <col min="4101" max="4101" width="9" style="230"/>
    <col min="4102" max="4102" width="5.875" style="230" customWidth="1"/>
    <col min="4103" max="4103" width="11.5" style="230" bestFit="1" customWidth="1"/>
    <col min="4104" max="4104" width="7" style="230" customWidth="1"/>
    <col min="4105" max="4107" width="0" style="230" hidden="1" customWidth="1"/>
    <col min="4108" max="4108" width="11" style="230" customWidth="1"/>
    <col min="4109" max="4109" width="5" style="230" customWidth="1"/>
    <col min="4110" max="4110" width="6.375" style="230" customWidth="1"/>
    <col min="4111" max="4111" width="0" style="230" hidden="1" customWidth="1"/>
    <col min="4112" max="4112" width="4.25" style="230" customWidth="1"/>
    <col min="4113" max="4113" width="9.125" style="230" bestFit="1" customWidth="1"/>
    <col min="4114" max="4352" width="9" style="230"/>
    <col min="4353" max="4353" width="11.25" style="230" customWidth="1"/>
    <col min="4354" max="4354" width="9" style="230"/>
    <col min="4355" max="4355" width="4.75" style="230" customWidth="1"/>
    <col min="4356" max="4356" width="9.75" style="230" customWidth="1"/>
    <col min="4357" max="4357" width="9" style="230"/>
    <col min="4358" max="4358" width="5.875" style="230" customWidth="1"/>
    <col min="4359" max="4359" width="11.5" style="230" bestFit="1" customWidth="1"/>
    <col min="4360" max="4360" width="7" style="230" customWidth="1"/>
    <col min="4361" max="4363" width="0" style="230" hidden="1" customWidth="1"/>
    <col min="4364" max="4364" width="11" style="230" customWidth="1"/>
    <col min="4365" max="4365" width="5" style="230" customWidth="1"/>
    <col min="4366" max="4366" width="6.375" style="230" customWidth="1"/>
    <col min="4367" max="4367" width="0" style="230" hidden="1" customWidth="1"/>
    <col min="4368" max="4368" width="4.25" style="230" customWidth="1"/>
    <col min="4369" max="4369" width="9.125" style="230" bestFit="1" customWidth="1"/>
    <col min="4370" max="4608" width="9" style="230"/>
    <col min="4609" max="4609" width="11.25" style="230" customWidth="1"/>
    <col min="4610" max="4610" width="9" style="230"/>
    <col min="4611" max="4611" width="4.75" style="230" customWidth="1"/>
    <col min="4612" max="4612" width="9.75" style="230" customWidth="1"/>
    <col min="4613" max="4613" width="9" style="230"/>
    <col min="4614" max="4614" width="5.875" style="230" customWidth="1"/>
    <col min="4615" max="4615" width="11.5" style="230" bestFit="1" customWidth="1"/>
    <col min="4616" max="4616" width="7" style="230" customWidth="1"/>
    <col min="4617" max="4619" width="0" style="230" hidden="1" customWidth="1"/>
    <col min="4620" max="4620" width="11" style="230" customWidth="1"/>
    <col min="4621" max="4621" width="5" style="230" customWidth="1"/>
    <col min="4622" max="4622" width="6.375" style="230" customWidth="1"/>
    <col min="4623" max="4623" width="0" style="230" hidden="1" customWidth="1"/>
    <col min="4624" max="4624" width="4.25" style="230" customWidth="1"/>
    <col min="4625" max="4625" width="9.125" style="230" bestFit="1" customWidth="1"/>
    <col min="4626" max="4864" width="9" style="230"/>
    <col min="4865" max="4865" width="11.25" style="230" customWidth="1"/>
    <col min="4866" max="4866" width="9" style="230"/>
    <col min="4867" max="4867" width="4.75" style="230" customWidth="1"/>
    <col min="4868" max="4868" width="9.75" style="230" customWidth="1"/>
    <col min="4869" max="4869" width="9" style="230"/>
    <col min="4870" max="4870" width="5.875" style="230" customWidth="1"/>
    <col min="4871" max="4871" width="11.5" style="230" bestFit="1" customWidth="1"/>
    <col min="4872" max="4872" width="7" style="230" customWidth="1"/>
    <col min="4873" max="4875" width="0" style="230" hidden="1" customWidth="1"/>
    <col min="4876" max="4876" width="11" style="230" customWidth="1"/>
    <col min="4877" max="4877" width="5" style="230" customWidth="1"/>
    <col min="4878" max="4878" width="6.375" style="230" customWidth="1"/>
    <col min="4879" max="4879" width="0" style="230" hidden="1" customWidth="1"/>
    <col min="4880" max="4880" width="4.25" style="230" customWidth="1"/>
    <col min="4881" max="4881" width="9.125" style="230" bestFit="1" customWidth="1"/>
    <col min="4882" max="5120" width="9" style="230"/>
    <col min="5121" max="5121" width="11.25" style="230" customWidth="1"/>
    <col min="5122" max="5122" width="9" style="230"/>
    <col min="5123" max="5123" width="4.75" style="230" customWidth="1"/>
    <col min="5124" max="5124" width="9.75" style="230" customWidth="1"/>
    <col min="5125" max="5125" width="9" style="230"/>
    <col min="5126" max="5126" width="5.875" style="230" customWidth="1"/>
    <col min="5127" max="5127" width="11.5" style="230" bestFit="1" customWidth="1"/>
    <col min="5128" max="5128" width="7" style="230" customWidth="1"/>
    <col min="5129" max="5131" width="0" style="230" hidden="1" customWidth="1"/>
    <col min="5132" max="5132" width="11" style="230" customWidth="1"/>
    <col min="5133" max="5133" width="5" style="230" customWidth="1"/>
    <col min="5134" max="5134" width="6.375" style="230" customWidth="1"/>
    <col min="5135" max="5135" width="0" style="230" hidden="1" customWidth="1"/>
    <col min="5136" max="5136" width="4.25" style="230" customWidth="1"/>
    <col min="5137" max="5137" width="9.125" style="230" bestFit="1" customWidth="1"/>
    <col min="5138" max="5376" width="9" style="230"/>
    <col min="5377" max="5377" width="11.25" style="230" customWidth="1"/>
    <col min="5378" max="5378" width="9" style="230"/>
    <col min="5379" max="5379" width="4.75" style="230" customWidth="1"/>
    <col min="5380" max="5380" width="9.75" style="230" customWidth="1"/>
    <col min="5381" max="5381" width="9" style="230"/>
    <col min="5382" max="5382" width="5.875" style="230" customWidth="1"/>
    <col min="5383" max="5383" width="11.5" style="230" bestFit="1" customWidth="1"/>
    <col min="5384" max="5384" width="7" style="230" customWidth="1"/>
    <col min="5385" max="5387" width="0" style="230" hidden="1" customWidth="1"/>
    <col min="5388" max="5388" width="11" style="230" customWidth="1"/>
    <col min="5389" max="5389" width="5" style="230" customWidth="1"/>
    <col min="5390" max="5390" width="6.375" style="230" customWidth="1"/>
    <col min="5391" max="5391" width="0" style="230" hidden="1" customWidth="1"/>
    <col min="5392" max="5392" width="4.25" style="230" customWidth="1"/>
    <col min="5393" max="5393" width="9.125" style="230" bestFit="1" customWidth="1"/>
    <col min="5394" max="5632" width="9" style="230"/>
    <col min="5633" max="5633" width="11.25" style="230" customWidth="1"/>
    <col min="5634" max="5634" width="9" style="230"/>
    <col min="5635" max="5635" width="4.75" style="230" customWidth="1"/>
    <col min="5636" max="5636" width="9.75" style="230" customWidth="1"/>
    <col min="5637" max="5637" width="9" style="230"/>
    <col min="5638" max="5638" width="5.875" style="230" customWidth="1"/>
    <col min="5639" max="5639" width="11.5" style="230" bestFit="1" customWidth="1"/>
    <col min="5640" max="5640" width="7" style="230" customWidth="1"/>
    <col min="5641" max="5643" width="0" style="230" hidden="1" customWidth="1"/>
    <col min="5644" max="5644" width="11" style="230" customWidth="1"/>
    <col min="5645" max="5645" width="5" style="230" customWidth="1"/>
    <col min="5646" max="5646" width="6.375" style="230" customWidth="1"/>
    <col min="5647" max="5647" width="0" style="230" hidden="1" customWidth="1"/>
    <col min="5648" max="5648" width="4.25" style="230" customWidth="1"/>
    <col min="5649" max="5649" width="9.125" style="230" bestFit="1" customWidth="1"/>
    <col min="5650" max="5888" width="9" style="230"/>
    <col min="5889" max="5889" width="11.25" style="230" customWidth="1"/>
    <col min="5890" max="5890" width="9" style="230"/>
    <col min="5891" max="5891" width="4.75" style="230" customWidth="1"/>
    <col min="5892" max="5892" width="9.75" style="230" customWidth="1"/>
    <col min="5893" max="5893" width="9" style="230"/>
    <col min="5894" max="5894" width="5.875" style="230" customWidth="1"/>
    <col min="5895" max="5895" width="11.5" style="230" bestFit="1" customWidth="1"/>
    <col min="5896" max="5896" width="7" style="230" customWidth="1"/>
    <col min="5897" max="5899" width="0" style="230" hidden="1" customWidth="1"/>
    <col min="5900" max="5900" width="11" style="230" customWidth="1"/>
    <col min="5901" max="5901" width="5" style="230" customWidth="1"/>
    <col min="5902" max="5902" width="6.375" style="230" customWidth="1"/>
    <col min="5903" max="5903" width="0" style="230" hidden="1" customWidth="1"/>
    <col min="5904" max="5904" width="4.25" style="230" customWidth="1"/>
    <col min="5905" max="5905" width="9.125" style="230" bestFit="1" customWidth="1"/>
    <col min="5906" max="6144" width="9" style="230"/>
    <col min="6145" max="6145" width="11.25" style="230" customWidth="1"/>
    <col min="6146" max="6146" width="9" style="230"/>
    <col min="6147" max="6147" width="4.75" style="230" customWidth="1"/>
    <col min="6148" max="6148" width="9.75" style="230" customWidth="1"/>
    <col min="6149" max="6149" width="9" style="230"/>
    <col min="6150" max="6150" width="5.875" style="230" customWidth="1"/>
    <col min="6151" max="6151" width="11.5" style="230" bestFit="1" customWidth="1"/>
    <col min="6152" max="6152" width="7" style="230" customWidth="1"/>
    <col min="6153" max="6155" width="0" style="230" hidden="1" customWidth="1"/>
    <col min="6156" max="6156" width="11" style="230" customWidth="1"/>
    <col min="6157" max="6157" width="5" style="230" customWidth="1"/>
    <col min="6158" max="6158" width="6.375" style="230" customWidth="1"/>
    <col min="6159" max="6159" width="0" style="230" hidden="1" customWidth="1"/>
    <col min="6160" max="6160" width="4.25" style="230" customWidth="1"/>
    <col min="6161" max="6161" width="9.125" style="230" bestFit="1" customWidth="1"/>
    <col min="6162" max="6400" width="9" style="230"/>
    <col min="6401" max="6401" width="11.25" style="230" customWidth="1"/>
    <col min="6402" max="6402" width="9" style="230"/>
    <col min="6403" max="6403" width="4.75" style="230" customWidth="1"/>
    <col min="6404" max="6404" width="9.75" style="230" customWidth="1"/>
    <col min="6405" max="6405" width="9" style="230"/>
    <col min="6406" max="6406" width="5.875" style="230" customWidth="1"/>
    <col min="6407" max="6407" width="11.5" style="230" bestFit="1" customWidth="1"/>
    <col min="6408" max="6408" width="7" style="230" customWidth="1"/>
    <col min="6409" max="6411" width="0" style="230" hidden="1" customWidth="1"/>
    <col min="6412" max="6412" width="11" style="230" customWidth="1"/>
    <col min="6413" max="6413" width="5" style="230" customWidth="1"/>
    <col min="6414" max="6414" width="6.375" style="230" customWidth="1"/>
    <col min="6415" max="6415" width="0" style="230" hidden="1" customWidth="1"/>
    <col min="6416" max="6416" width="4.25" style="230" customWidth="1"/>
    <col min="6417" max="6417" width="9.125" style="230" bestFit="1" customWidth="1"/>
    <col min="6418" max="6656" width="9" style="230"/>
    <col min="6657" max="6657" width="11.25" style="230" customWidth="1"/>
    <col min="6658" max="6658" width="9" style="230"/>
    <col min="6659" max="6659" width="4.75" style="230" customWidth="1"/>
    <col min="6660" max="6660" width="9.75" style="230" customWidth="1"/>
    <col min="6661" max="6661" width="9" style="230"/>
    <col min="6662" max="6662" width="5.875" style="230" customWidth="1"/>
    <col min="6663" max="6663" width="11.5" style="230" bestFit="1" customWidth="1"/>
    <col min="6664" max="6664" width="7" style="230" customWidth="1"/>
    <col min="6665" max="6667" width="0" style="230" hidden="1" customWidth="1"/>
    <col min="6668" max="6668" width="11" style="230" customWidth="1"/>
    <col min="6669" max="6669" width="5" style="230" customWidth="1"/>
    <col min="6670" max="6670" width="6.375" style="230" customWidth="1"/>
    <col min="6671" max="6671" width="0" style="230" hidden="1" customWidth="1"/>
    <col min="6672" max="6672" width="4.25" style="230" customWidth="1"/>
    <col min="6673" max="6673" width="9.125" style="230" bestFit="1" customWidth="1"/>
    <col min="6674" max="6912" width="9" style="230"/>
    <col min="6913" max="6913" width="11.25" style="230" customWidth="1"/>
    <col min="6914" max="6914" width="9" style="230"/>
    <col min="6915" max="6915" width="4.75" style="230" customWidth="1"/>
    <col min="6916" max="6916" width="9.75" style="230" customWidth="1"/>
    <col min="6917" max="6917" width="9" style="230"/>
    <col min="6918" max="6918" width="5.875" style="230" customWidth="1"/>
    <col min="6919" max="6919" width="11.5" style="230" bestFit="1" customWidth="1"/>
    <col min="6920" max="6920" width="7" style="230" customWidth="1"/>
    <col min="6921" max="6923" width="0" style="230" hidden="1" customWidth="1"/>
    <col min="6924" max="6924" width="11" style="230" customWidth="1"/>
    <col min="6925" max="6925" width="5" style="230" customWidth="1"/>
    <col min="6926" max="6926" width="6.375" style="230" customWidth="1"/>
    <col min="6927" max="6927" width="0" style="230" hidden="1" customWidth="1"/>
    <col min="6928" max="6928" width="4.25" style="230" customWidth="1"/>
    <col min="6929" max="6929" width="9.125" style="230" bestFit="1" customWidth="1"/>
    <col min="6930" max="7168" width="9" style="230"/>
    <col min="7169" max="7169" width="11.25" style="230" customWidth="1"/>
    <col min="7170" max="7170" width="9" style="230"/>
    <col min="7171" max="7171" width="4.75" style="230" customWidth="1"/>
    <col min="7172" max="7172" width="9.75" style="230" customWidth="1"/>
    <col min="7173" max="7173" width="9" style="230"/>
    <col min="7174" max="7174" width="5.875" style="230" customWidth="1"/>
    <col min="7175" max="7175" width="11.5" style="230" bestFit="1" customWidth="1"/>
    <col min="7176" max="7176" width="7" style="230" customWidth="1"/>
    <col min="7177" max="7179" width="0" style="230" hidden="1" customWidth="1"/>
    <col min="7180" max="7180" width="11" style="230" customWidth="1"/>
    <col min="7181" max="7181" width="5" style="230" customWidth="1"/>
    <col min="7182" max="7182" width="6.375" style="230" customWidth="1"/>
    <col min="7183" max="7183" width="0" style="230" hidden="1" customWidth="1"/>
    <col min="7184" max="7184" width="4.25" style="230" customWidth="1"/>
    <col min="7185" max="7185" width="9.125" style="230" bestFit="1" customWidth="1"/>
    <col min="7186" max="7424" width="9" style="230"/>
    <col min="7425" max="7425" width="11.25" style="230" customWidth="1"/>
    <col min="7426" max="7426" width="9" style="230"/>
    <col min="7427" max="7427" width="4.75" style="230" customWidth="1"/>
    <col min="7428" max="7428" width="9.75" style="230" customWidth="1"/>
    <col min="7429" max="7429" width="9" style="230"/>
    <col min="7430" max="7430" width="5.875" style="230" customWidth="1"/>
    <col min="7431" max="7431" width="11.5" style="230" bestFit="1" customWidth="1"/>
    <col min="7432" max="7432" width="7" style="230" customWidth="1"/>
    <col min="7433" max="7435" width="0" style="230" hidden="1" customWidth="1"/>
    <col min="7436" max="7436" width="11" style="230" customWidth="1"/>
    <col min="7437" max="7437" width="5" style="230" customWidth="1"/>
    <col min="7438" max="7438" width="6.375" style="230" customWidth="1"/>
    <col min="7439" max="7439" width="0" style="230" hidden="1" customWidth="1"/>
    <col min="7440" max="7440" width="4.25" style="230" customWidth="1"/>
    <col min="7441" max="7441" width="9.125" style="230" bestFit="1" customWidth="1"/>
    <col min="7442" max="7680" width="9" style="230"/>
    <col min="7681" max="7681" width="11.25" style="230" customWidth="1"/>
    <col min="7682" max="7682" width="9" style="230"/>
    <col min="7683" max="7683" width="4.75" style="230" customWidth="1"/>
    <col min="7684" max="7684" width="9.75" style="230" customWidth="1"/>
    <col min="7685" max="7685" width="9" style="230"/>
    <col min="7686" max="7686" width="5.875" style="230" customWidth="1"/>
    <col min="7687" max="7687" width="11.5" style="230" bestFit="1" customWidth="1"/>
    <col min="7688" max="7688" width="7" style="230" customWidth="1"/>
    <col min="7689" max="7691" width="0" style="230" hidden="1" customWidth="1"/>
    <col min="7692" max="7692" width="11" style="230" customWidth="1"/>
    <col min="7693" max="7693" width="5" style="230" customWidth="1"/>
    <col min="7694" max="7694" width="6.375" style="230" customWidth="1"/>
    <col min="7695" max="7695" width="0" style="230" hidden="1" customWidth="1"/>
    <col min="7696" max="7696" width="4.25" style="230" customWidth="1"/>
    <col min="7697" max="7697" width="9.125" style="230" bestFit="1" customWidth="1"/>
    <col min="7698" max="7936" width="9" style="230"/>
    <col min="7937" max="7937" width="11.25" style="230" customWidth="1"/>
    <col min="7938" max="7938" width="9" style="230"/>
    <col min="7939" max="7939" width="4.75" style="230" customWidth="1"/>
    <col min="7940" max="7940" width="9.75" style="230" customWidth="1"/>
    <col min="7941" max="7941" width="9" style="230"/>
    <col min="7942" max="7942" width="5.875" style="230" customWidth="1"/>
    <col min="7943" max="7943" width="11.5" style="230" bestFit="1" customWidth="1"/>
    <col min="7944" max="7944" width="7" style="230" customWidth="1"/>
    <col min="7945" max="7947" width="0" style="230" hidden="1" customWidth="1"/>
    <col min="7948" max="7948" width="11" style="230" customWidth="1"/>
    <col min="7949" max="7949" width="5" style="230" customWidth="1"/>
    <col min="7950" max="7950" width="6.375" style="230" customWidth="1"/>
    <col min="7951" max="7951" width="0" style="230" hidden="1" customWidth="1"/>
    <col min="7952" max="7952" width="4.25" style="230" customWidth="1"/>
    <col min="7953" max="7953" width="9.125" style="230" bestFit="1" customWidth="1"/>
    <col min="7954" max="8192" width="9" style="230"/>
    <col min="8193" max="8193" width="11.25" style="230" customWidth="1"/>
    <col min="8194" max="8194" width="9" style="230"/>
    <col min="8195" max="8195" width="4.75" style="230" customWidth="1"/>
    <col min="8196" max="8196" width="9.75" style="230" customWidth="1"/>
    <col min="8197" max="8197" width="9" style="230"/>
    <col min="8198" max="8198" width="5.875" style="230" customWidth="1"/>
    <col min="8199" max="8199" width="11.5" style="230" bestFit="1" customWidth="1"/>
    <col min="8200" max="8200" width="7" style="230" customWidth="1"/>
    <col min="8201" max="8203" width="0" style="230" hidden="1" customWidth="1"/>
    <col min="8204" max="8204" width="11" style="230" customWidth="1"/>
    <col min="8205" max="8205" width="5" style="230" customWidth="1"/>
    <col min="8206" max="8206" width="6.375" style="230" customWidth="1"/>
    <col min="8207" max="8207" width="0" style="230" hidden="1" customWidth="1"/>
    <col min="8208" max="8208" width="4.25" style="230" customWidth="1"/>
    <col min="8209" max="8209" width="9.125" style="230" bestFit="1" customWidth="1"/>
    <col min="8210" max="8448" width="9" style="230"/>
    <col min="8449" max="8449" width="11.25" style="230" customWidth="1"/>
    <col min="8450" max="8450" width="9" style="230"/>
    <col min="8451" max="8451" width="4.75" style="230" customWidth="1"/>
    <col min="8452" max="8452" width="9.75" style="230" customWidth="1"/>
    <col min="8453" max="8453" width="9" style="230"/>
    <col min="8454" max="8454" width="5.875" style="230" customWidth="1"/>
    <col min="8455" max="8455" width="11.5" style="230" bestFit="1" customWidth="1"/>
    <col min="8456" max="8456" width="7" style="230" customWidth="1"/>
    <col min="8457" max="8459" width="0" style="230" hidden="1" customWidth="1"/>
    <col min="8460" max="8460" width="11" style="230" customWidth="1"/>
    <col min="8461" max="8461" width="5" style="230" customWidth="1"/>
    <col min="8462" max="8462" width="6.375" style="230" customWidth="1"/>
    <col min="8463" max="8463" width="0" style="230" hidden="1" customWidth="1"/>
    <col min="8464" max="8464" width="4.25" style="230" customWidth="1"/>
    <col min="8465" max="8465" width="9.125" style="230" bestFit="1" customWidth="1"/>
    <col min="8466" max="8704" width="9" style="230"/>
    <col min="8705" max="8705" width="11.25" style="230" customWidth="1"/>
    <col min="8706" max="8706" width="9" style="230"/>
    <col min="8707" max="8707" width="4.75" style="230" customWidth="1"/>
    <col min="8708" max="8708" width="9.75" style="230" customWidth="1"/>
    <col min="8709" max="8709" width="9" style="230"/>
    <col min="8710" max="8710" width="5.875" style="230" customWidth="1"/>
    <col min="8711" max="8711" width="11.5" style="230" bestFit="1" customWidth="1"/>
    <col min="8712" max="8712" width="7" style="230" customWidth="1"/>
    <col min="8713" max="8715" width="0" style="230" hidden="1" customWidth="1"/>
    <col min="8716" max="8716" width="11" style="230" customWidth="1"/>
    <col min="8717" max="8717" width="5" style="230" customWidth="1"/>
    <col min="8718" max="8718" width="6.375" style="230" customWidth="1"/>
    <col min="8719" max="8719" width="0" style="230" hidden="1" customWidth="1"/>
    <col min="8720" max="8720" width="4.25" style="230" customWidth="1"/>
    <col min="8721" max="8721" width="9.125" style="230" bestFit="1" customWidth="1"/>
    <col min="8722" max="8960" width="9" style="230"/>
    <col min="8961" max="8961" width="11.25" style="230" customWidth="1"/>
    <col min="8962" max="8962" width="9" style="230"/>
    <col min="8963" max="8963" width="4.75" style="230" customWidth="1"/>
    <col min="8964" max="8964" width="9.75" style="230" customWidth="1"/>
    <col min="8965" max="8965" width="9" style="230"/>
    <col min="8966" max="8966" width="5.875" style="230" customWidth="1"/>
    <col min="8967" max="8967" width="11.5" style="230" bestFit="1" customWidth="1"/>
    <col min="8968" max="8968" width="7" style="230" customWidth="1"/>
    <col min="8969" max="8971" width="0" style="230" hidden="1" customWidth="1"/>
    <col min="8972" max="8972" width="11" style="230" customWidth="1"/>
    <col min="8973" max="8973" width="5" style="230" customWidth="1"/>
    <col min="8974" max="8974" width="6.375" style="230" customWidth="1"/>
    <col min="8975" max="8975" width="0" style="230" hidden="1" customWidth="1"/>
    <col min="8976" max="8976" width="4.25" style="230" customWidth="1"/>
    <col min="8977" max="8977" width="9.125" style="230" bestFit="1" customWidth="1"/>
    <col min="8978" max="9216" width="9" style="230"/>
    <col min="9217" max="9217" width="11.25" style="230" customWidth="1"/>
    <col min="9218" max="9218" width="9" style="230"/>
    <col min="9219" max="9219" width="4.75" style="230" customWidth="1"/>
    <col min="9220" max="9220" width="9.75" style="230" customWidth="1"/>
    <col min="9221" max="9221" width="9" style="230"/>
    <col min="9222" max="9222" width="5.875" style="230" customWidth="1"/>
    <col min="9223" max="9223" width="11.5" style="230" bestFit="1" customWidth="1"/>
    <col min="9224" max="9224" width="7" style="230" customWidth="1"/>
    <col min="9225" max="9227" width="0" style="230" hidden="1" customWidth="1"/>
    <col min="9228" max="9228" width="11" style="230" customWidth="1"/>
    <col min="9229" max="9229" width="5" style="230" customWidth="1"/>
    <col min="9230" max="9230" width="6.375" style="230" customWidth="1"/>
    <col min="9231" max="9231" width="0" style="230" hidden="1" customWidth="1"/>
    <col min="9232" max="9232" width="4.25" style="230" customWidth="1"/>
    <col min="9233" max="9233" width="9.125" style="230" bestFit="1" customWidth="1"/>
    <col min="9234" max="9472" width="9" style="230"/>
    <col min="9473" max="9473" width="11.25" style="230" customWidth="1"/>
    <col min="9474" max="9474" width="9" style="230"/>
    <col min="9475" max="9475" width="4.75" style="230" customWidth="1"/>
    <col min="9476" max="9476" width="9.75" style="230" customWidth="1"/>
    <col min="9477" max="9477" width="9" style="230"/>
    <col min="9478" max="9478" width="5.875" style="230" customWidth="1"/>
    <col min="9479" max="9479" width="11.5" style="230" bestFit="1" customWidth="1"/>
    <col min="9480" max="9480" width="7" style="230" customWidth="1"/>
    <col min="9481" max="9483" width="0" style="230" hidden="1" customWidth="1"/>
    <col min="9484" max="9484" width="11" style="230" customWidth="1"/>
    <col min="9485" max="9485" width="5" style="230" customWidth="1"/>
    <col min="9486" max="9486" width="6.375" style="230" customWidth="1"/>
    <col min="9487" max="9487" width="0" style="230" hidden="1" customWidth="1"/>
    <col min="9488" max="9488" width="4.25" style="230" customWidth="1"/>
    <col min="9489" max="9489" width="9.125" style="230" bestFit="1" customWidth="1"/>
    <col min="9490" max="9728" width="9" style="230"/>
    <col min="9729" max="9729" width="11.25" style="230" customWidth="1"/>
    <col min="9730" max="9730" width="9" style="230"/>
    <col min="9731" max="9731" width="4.75" style="230" customWidth="1"/>
    <col min="9732" max="9732" width="9.75" style="230" customWidth="1"/>
    <col min="9733" max="9733" width="9" style="230"/>
    <col min="9734" max="9734" width="5.875" style="230" customWidth="1"/>
    <col min="9735" max="9735" width="11.5" style="230" bestFit="1" customWidth="1"/>
    <col min="9736" max="9736" width="7" style="230" customWidth="1"/>
    <col min="9737" max="9739" width="0" style="230" hidden="1" customWidth="1"/>
    <col min="9740" max="9740" width="11" style="230" customWidth="1"/>
    <col min="9741" max="9741" width="5" style="230" customWidth="1"/>
    <col min="9742" max="9742" width="6.375" style="230" customWidth="1"/>
    <col min="9743" max="9743" width="0" style="230" hidden="1" customWidth="1"/>
    <col min="9744" max="9744" width="4.25" style="230" customWidth="1"/>
    <col min="9745" max="9745" width="9.125" style="230" bestFit="1" customWidth="1"/>
    <col min="9746" max="9984" width="9" style="230"/>
    <col min="9985" max="9985" width="11.25" style="230" customWidth="1"/>
    <col min="9986" max="9986" width="9" style="230"/>
    <col min="9987" max="9987" width="4.75" style="230" customWidth="1"/>
    <col min="9988" max="9988" width="9.75" style="230" customWidth="1"/>
    <col min="9989" max="9989" width="9" style="230"/>
    <col min="9990" max="9990" width="5.875" style="230" customWidth="1"/>
    <col min="9991" max="9991" width="11.5" style="230" bestFit="1" customWidth="1"/>
    <col min="9992" max="9992" width="7" style="230" customWidth="1"/>
    <col min="9993" max="9995" width="0" style="230" hidden="1" customWidth="1"/>
    <col min="9996" max="9996" width="11" style="230" customWidth="1"/>
    <col min="9997" max="9997" width="5" style="230" customWidth="1"/>
    <col min="9998" max="9998" width="6.375" style="230" customWidth="1"/>
    <col min="9999" max="9999" width="0" style="230" hidden="1" customWidth="1"/>
    <col min="10000" max="10000" width="4.25" style="230" customWidth="1"/>
    <col min="10001" max="10001" width="9.125" style="230" bestFit="1" customWidth="1"/>
    <col min="10002" max="10240" width="9" style="230"/>
    <col min="10241" max="10241" width="11.25" style="230" customWidth="1"/>
    <col min="10242" max="10242" width="9" style="230"/>
    <col min="10243" max="10243" width="4.75" style="230" customWidth="1"/>
    <col min="10244" max="10244" width="9.75" style="230" customWidth="1"/>
    <col min="10245" max="10245" width="9" style="230"/>
    <col min="10246" max="10246" width="5.875" style="230" customWidth="1"/>
    <col min="10247" max="10247" width="11.5" style="230" bestFit="1" customWidth="1"/>
    <col min="10248" max="10248" width="7" style="230" customWidth="1"/>
    <col min="10249" max="10251" width="0" style="230" hidden="1" customWidth="1"/>
    <col min="10252" max="10252" width="11" style="230" customWidth="1"/>
    <col min="10253" max="10253" width="5" style="230" customWidth="1"/>
    <col min="10254" max="10254" width="6.375" style="230" customWidth="1"/>
    <col min="10255" max="10255" width="0" style="230" hidden="1" customWidth="1"/>
    <col min="10256" max="10256" width="4.25" style="230" customWidth="1"/>
    <col min="10257" max="10257" width="9.125" style="230" bestFit="1" customWidth="1"/>
    <col min="10258" max="10496" width="9" style="230"/>
    <col min="10497" max="10497" width="11.25" style="230" customWidth="1"/>
    <col min="10498" max="10498" width="9" style="230"/>
    <col min="10499" max="10499" width="4.75" style="230" customWidth="1"/>
    <col min="10500" max="10500" width="9.75" style="230" customWidth="1"/>
    <col min="10501" max="10501" width="9" style="230"/>
    <col min="10502" max="10502" width="5.875" style="230" customWidth="1"/>
    <col min="10503" max="10503" width="11.5" style="230" bestFit="1" customWidth="1"/>
    <col min="10504" max="10504" width="7" style="230" customWidth="1"/>
    <col min="10505" max="10507" width="0" style="230" hidden="1" customWidth="1"/>
    <col min="10508" max="10508" width="11" style="230" customWidth="1"/>
    <col min="10509" max="10509" width="5" style="230" customWidth="1"/>
    <col min="10510" max="10510" width="6.375" style="230" customWidth="1"/>
    <col min="10511" max="10511" width="0" style="230" hidden="1" customWidth="1"/>
    <col min="10512" max="10512" width="4.25" style="230" customWidth="1"/>
    <col min="10513" max="10513" width="9.125" style="230" bestFit="1" customWidth="1"/>
    <col min="10514" max="10752" width="9" style="230"/>
    <col min="10753" max="10753" width="11.25" style="230" customWidth="1"/>
    <col min="10754" max="10754" width="9" style="230"/>
    <col min="10755" max="10755" width="4.75" style="230" customWidth="1"/>
    <col min="10756" max="10756" width="9.75" style="230" customWidth="1"/>
    <col min="10757" max="10757" width="9" style="230"/>
    <col min="10758" max="10758" width="5.875" style="230" customWidth="1"/>
    <col min="10759" max="10759" width="11.5" style="230" bestFit="1" customWidth="1"/>
    <col min="10760" max="10760" width="7" style="230" customWidth="1"/>
    <col min="10761" max="10763" width="0" style="230" hidden="1" customWidth="1"/>
    <col min="10764" max="10764" width="11" style="230" customWidth="1"/>
    <col min="10765" max="10765" width="5" style="230" customWidth="1"/>
    <col min="10766" max="10766" width="6.375" style="230" customWidth="1"/>
    <col min="10767" max="10767" width="0" style="230" hidden="1" customWidth="1"/>
    <col min="10768" max="10768" width="4.25" style="230" customWidth="1"/>
    <col min="10769" max="10769" width="9.125" style="230" bestFit="1" customWidth="1"/>
    <col min="10770" max="11008" width="9" style="230"/>
    <col min="11009" max="11009" width="11.25" style="230" customWidth="1"/>
    <col min="11010" max="11010" width="9" style="230"/>
    <col min="11011" max="11011" width="4.75" style="230" customWidth="1"/>
    <col min="11012" max="11012" width="9.75" style="230" customWidth="1"/>
    <col min="11013" max="11013" width="9" style="230"/>
    <col min="11014" max="11014" width="5.875" style="230" customWidth="1"/>
    <col min="11015" max="11015" width="11.5" style="230" bestFit="1" customWidth="1"/>
    <col min="11016" max="11016" width="7" style="230" customWidth="1"/>
    <col min="11017" max="11019" width="0" style="230" hidden="1" customWidth="1"/>
    <col min="11020" max="11020" width="11" style="230" customWidth="1"/>
    <col min="11021" max="11021" width="5" style="230" customWidth="1"/>
    <col min="11022" max="11022" width="6.375" style="230" customWidth="1"/>
    <col min="11023" max="11023" width="0" style="230" hidden="1" customWidth="1"/>
    <col min="11024" max="11024" width="4.25" style="230" customWidth="1"/>
    <col min="11025" max="11025" width="9.125" style="230" bestFit="1" customWidth="1"/>
    <col min="11026" max="11264" width="9" style="230"/>
    <col min="11265" max="11265" width="11.25" style="230" customWidth="1"/>
    <col min="11266" max="11266" width="9" style="230"/>
    <col min="11267" max="11267" width="4.75" style="230" customWidth="1"/>
    <col min="11268" max="11268" width="9.75" style="230" customWidth="1"/>
    <col min="11269" max="11269" width="9" style="230"/>
    <col min="11270" max="11270" width="5.875" style="230" customWidth="1"/>
    <col min="11271" max="11271" width="11.5" style="230" bestFit="1" customWidth="1"/>
    <col min="11272" max="11272" width="7" style="230" customWidth="1"/>
    <col min="11273" max="11275" width="0" style="230" hidden="1" customWidth="1"/>
    <col min="11276" max="11276" width="11" style="230" customWidth="1"/>
    <col min="11277" max="11277" width="5" style="230" customWidth="1"/>
    <col min="11278" max="11278" width="6.375" style="230" customWidth="1"/>
    <col min="11279" max="11279" width="0" style="230" hidden="1" customWidth="1"/>
    <col min="11280" max="11280" width="4.25" style="230" customWidth="1"/>
    <col min="11281" max="11281" width="9.125" style="230" bestFit="1" customWidth="1"/>
    <col min="11282" max="11520" width="9" style="230"/>
    <col min="11521" max="11521" width="11.25" style="230" customWidth="1"/>
    <col min="11522" max="11522" width="9" style="230"/>
    <col min="11523" max="11523" width="4.75" style="230" customWidth="1"/>
    <col min="11524" max="11524" width="9.75" style="230" customWidth="1"/>
    <col min="11525" max="11525" width="9" style="230"/>
    <col min="11526" max="11526" width="5.875" style="230" customWidth="1"/>
    <col min="11527" max="11527" width="11.5" style="230" bestFit="1" customWidth="1"/>
    <col min="11528" max="11528" width="7" style="230" customWidth="1"/>
    <col min="11529" max="11531" width="0" style="230" hidden="1" customWidth="1"/>
    <col min="11532" max="11532" width="11" style="230" customWidth="1"/>
    <col min="11533" max="11533" width="5" style="230" customWidth="1"/>
    <col min="11534" max="11534" width="6.375" style="230" customWidth="1"/>
    <col min="11535" max="11535" width="0" style="230" hidden="1" customWidth="1"/>
    <col min="11536" max="11536" width="4.25" style="230" customWidth="1"/>
    <col min="11537" max="11537" width="9.125" style="230" bestFit="1" customWidth="1"/>
    <col min="11538" max="11776" width="9" style="230"/>
    <col min="11777" max="11777" width="11.25" style="230" customWidth="1"/>
    <col min="11778" max="11778" width="9" style="230"/>
    <col min="11779" max="11779" width="4.75" style="230" customWidth="1"/>
    <col min="11780" max="11780" width="9.75" style="230" customWidth="1"/>
    <col min="11781" max="11781" width="9" style="230"/>
    <col min="11782" max="11782" width="5.875" style="230" customWidth="1"/>
    <col min="11783" max="11783" width="11.5" style="230" bestFit="1" customWidth="1"/>
    <col min="11784" max="11784" width="7" style="230" customWidth="1"/>
    <col min="11785" max="11787" width="0" style="230" hidden="1" customWidth="1"/>
    <col min="11788" max="11788" width="11" style="230" customWidth="1"/>
    <col min="11789" max="11789" width="5" style="230" customWidth="1"/>
    <col min="11790" max="11790" width="6.375" style="230" customWidth="1"/>
    <col min="11791" max="11791" width="0" style="230" hidden="1" customWidth="1"/>
    <col min="11792" max="11792" width="4.25" style="230" customWidth="1"/>
    <col min="11793" max="11793" width="9.125" style="230" bestFit="1" customWidth="1"/>
    <col min="11794" max="12032" width="9" style="230"/>
    <col min="12033" max="12033" width="11.25" style="230" customWidth="1"/>
    <col min="12034" max="12034" width="9" style="230"/>
    <col min="12035" max="12035" width="4.75" style="230" customWidth="1"/>
    <col min="12036" max="12036" width="9.75" style="230" customWidth="1"/>
    <col min="12037" max="12037" width="9" style="230"/>
    <col min="12038" max="12038" width="5.875" style="230" customWidth="1"/>
    <col min="12039" max="12039" width="11.5" style="230" bestFit="1" customWidth="1"/>
    <col min="12040" max="12040" width="7" style="230" customWidth="1"/>
    <col min="12041" max="12043" width="0" style="230" hidden="1" customWidth="1"/>
    <col min="12044" max="12044" width="11" style="230" customWidth="1"/>
    <col min="12045" max="12045" width="5" style="230" customWidth="1"/>
    <col min="12046" max="12046" width="6.375" style="230" customWidth="1"/>
    <col min="12047" max="12047" width="0" style="230" hidden="1" customWidth="1"/>
    <col min="12048" max="12048" width="4.25" style="230" customWidth="1"/>
    <col min="12049" max="12049" width="9.125" style="230" bestFit="1" customWidth="1"/>
    <col min="12050" max="12288" width="9" style="230"/>
    <col min="12289" max="12289" width="11.25" style="230" customWidth="1"/>
    <col min="12290" max="12290" width="9" style="230"/>
    <col min="12291" max="12291" width="4.75" style="230" customWidth="1"/>
    <col min="12292" max="12292" width="9.75" style="230" customWidth="1"/>
    <col min="12293" max="12293" width="9" style="230"/>
    <col min="12294" max="12294" width="5.875" style="230" customWidth="1"/>
    <col min="12295" max="12295" width="11.5" style="230" bestFit="1" customWidth="1"/>
    <col min="12296" max="12296" width="7" style="230" customWidth="1"/>
    <col min="12297" max="12299" width="0" style="230" hidden="1" customWidth="1"/>
    <col min="12300" max="12300" width="11" style="230" customWidth="1"/>
    <col min="12301" max="12301" width="5" style="230" customWidth="1"/>
    <col min="12302" max="12302" width="6.375" style="230" customWidth="1"/>
    <col min="12303" max="12303" width="0" style="230" hidden="1" customWidth="1"/>
    <col min="12304" max="12304" width="4.25" style="230" customWidth="1"/>
    <col min="12305" max="12305" width="9.125" style="230" bestFit="1" customWidth="1"/>
    <col min="12306" max="12544" width="9" style="230"/>
    <col min="12545" max="12545" width="11.25" style="230" customWidth="1"/>
    <col min="12546" max="12546" width="9" style="230"/>
    <col min="12547" max="12547" width="4.75" style="230" customWidth="1"/>
    <col min="12548" max="12548" width="9.75" style="230" customWidth="1"/>
    <col min="12549" max="12549" width="9" style="230"/>
    <col min="12550" max="12550" width="5.875" style="230" customWidth="1"/>
    <col min="12551" max="12551" width="11.5" style="230" bestFit="1" customWidth="1"/>
    <col min="12552" max="12552" width="7" style="230" customWidth="1"/>
    <col min="12553" max="12555" width="0" style="230" hidden="1" customWidth="1"/>
    <col min="12556" max="12556" width="11" style="230" customWidth="1"/>
    <col min="12557" max="12557" width="5" style="230" customWidth="1"/>
    <col min="12558" max="12558" width="6.375" style="230" customWidth="1"/>
    <col min="12559" max="12559" width="0" style="230" hidden="1" customWidth="1"/>
    <col min="12560" max="12560" width="4.25" style="230" customWidth="1"/>
    <col min="12561" max="12561" width="9.125" style="230" bestFit="1" customWidth="1"/>
    <col min="12562" max="12800" width="9" style="230"/>
    <col min="12801" max="12801" width="11.25" style="230" customWidth="1"/>
    <col min="12802" max="12802" width="9" style="230"/>
    <col min="12803" max="12803" width="4.75" style="230" customWidth="1"/>
    <col min="12804" max="12804" width="9.75" style="230" customWidth="1"/>
    <col min="12805" max="12805" width="9" style="230"/>
    <col min="12806" max="12806" width="5.875" style="230" customWidth="1"/>
    <col min="12807" max="12807" width="11.5" style="230" bestFit="1" customWidth="1"/>
    <col min="12808" max="12808" width="7" style="230" customWidth="1"/>
    <col min="12809" max="12811" width="0" style="230" hidden="1" customWidth="1"/>
    <col min="12812" max="12812" width="11" style="230" customWidth="1"/>
    <col min="12813" max="12813" width="5" style="230" customWidth="1"/>
    <col min="12814" max="12814" width="6.375" style="230" customWidth="1"/>
    <col min="12815" max="12815" width="0" style="230" hidden="1" customWidth="1"/>
    <col min="12816" max="12816" width="4.25" style="230" customWidth="1"/>
    <col min="12817" max="12817" width="9.125" style="230" bestFit="1" customWidth="1"/>
    <col min="12818" max="13056" width="9" style="230"/>
    <col min="13057" max="13057" width="11.25" style="230" customWidth="1"/>
    <col min="13058" max="13058" width="9" style="230"/>
    <col min="13059" max="13059" width="4.75" style="230" customWidth="1"/>
    <col min="13060" max="13060" width="9.75" style="230" customWidth="1"/>
    <col min="13061" max="13061" width="9" style="230"/>
    <col min="13062" max="13062" width="5.875" style="230" customWidth="1"/>
    <col min="13063" max="13063" width="11.5" style="230" bestFit="1" customWidth="1"/>
    <col min="13064" max="13064" width="7" style="230" customWidth="1"/>
    <col min="13065" max="13067" width="0" style="230" hidden="1" customWidth="1"/>
    <col min="13068" max="13068" width="11" style="230" customWidth="1"/>
    <col min="13069" max="13069" width="5" style="230" customWidth="1"/>
    <col min="13070" max="13070" width="6.375" style="230" customWidth="1"/>
    <col min="13071" max="13071" width="0" style="230" hidden="1" customWidth="1"/>
    <col min="13072" max="13072" width="4.25" style="230" customWidth="1"/>
    <col min="13073" max="13073" width="9.125" style="230" bestFit="1" customWidth="1"/>
    <col min="13074" max="13312" width="9" style="230"/>
    <col min="13313" max="13313" width="11.25" style="230" customWidth="1"/>
    <col min="13314" max="13314" width="9" style="230"/>
    <col min="13315" max="13315" width="4.75" style="230" customWidth="1"/>
    <col min="13316" max="13316" width="9.75" style="230" customWidth="1"/>
    <col min="13317" max="13317" width="9" style="230"/>
    <col min="13318" max="13318" width="5.875" style="230" customWidth="1"/>
    <col min="13319" max="13319" width="11.5" style="230" bestFit="1" customWidth="1"/>
    <col min="13320" max="13320" width="7" style="230" customWidth="1"/>
    <col min="13321" max="13323" width="0" style="230" hidden="1" customWidth="1"/>
    <col min="13324" max="13324" width="11" style="230" customWidth="1"/>
    <col min="13325" max="13325" width="5" style="230" customWidth="1"/>
    <col min="13326" max="13326" width="6.375" style="230" customWidth="1"/>
    <col min="13327" max="13327" width="0" style="230" hidden="1" customWidth="1"/>
    <col min="13328" max="13328" width="4.25" style="230" customWidth="1"/>
    <col min="13329" max="13329" width="9.125" style="230" bestFit="1" customWidth="1"/>
    <col min="13330" max="13568" width="9" style="230"/>
    <col min="13569" max="13569" width="11.25" style="230" customWidth="1"/>
    <col min="13570" max="13570" width="9" style="230"/>
    <col min="13571" max="13571" width="4.75" style="230" customWidth="1"/>
    <col min="13572" max="13572" width="9.75" style="230" customWidth="1"/>
    <col min="13573" max="13573" width="9" style="230"/>
    <col min="13574" max="13574" width="5.875" style="230" customWidth="1"/>
    <col min="13575" max="13575" width="11.5" style="230" bestFit="1" customWidth="1"/>
    <col min="13576" max="13576" width="7" style="230" customWidth="1"/>
    <col min="13577" max="13579" width="0" style="230" hidden="1" customWidth="1"/>
    <col min="13580" max="13580" width="11" style="230" customWidth="1"/>
    <col min="13581" max="13581" width="5" style="230" customWidth="1"/>
    <col min="13582" max="13582" width="6.375" style="230" customWidth="1"/>
    <col min="13583" max="13583" width="0" style="230" hidden="1" customWidth="1"/>
    <col min="13584" max="13584" width="4.25" style="230" customWidth="1"/>
    <col min="13585" max="13585" width="9.125" style="230" bestFit="1" customWidth="1"/>
    <col min="13586" max="13824" width="9" style="230"/>
    <col min="13825" max="13825" width="11.25" style="230" customWidth="1"/>
    <col min="13826" max="13826" width="9" style="230"/>
    <col min="13827" max="13827" width="4.75" style="230" customWidth="1"/>
    <col min="13828" max="13828" width="9.75" style="230" customWidth="1"/>
    <col min="13829" max="13829" width="9" style="230"/>
    <col min="13830" max="13830" width="5.875" style="230" customWidth="1"/>
    <col min="13831" max="13831" width="11.5" style="230" bestFit="1" customWidth="1"/>
    <col min="13832" max="13832" width="7" style="230" customWidth="1"/>
    <col min="13833" max="13835" width="0" style="230" hidden="1" customWidth="1"/>
    <col min="13836" max="13836" width="11" style="230" customWidth="1"/>
    <col min="13837" max="13837" width="5" style="230" customWidth="1"/>
    <col min="13838" max="13838" width="6.375" style="230" customWidth="1"/>
    <col min="13839" max="13839" width="0" style="230" hidden="1" customWidth="1"/>
    <col min="13840" max="13840" width="4.25" style="230" customWidth="1"/>
    <col min="13841" max="13841" width="9.125" style="230" bestFit="1" customWidth="1"/>
    <col min="13842" max="14080" width="9" style="230"/>
    <col min="14081" max="14081" width="11.25" style="230" customWidth="1"/>
    <col min="14082" max="14082" width="9" style="230"/>
    <col min="14083" max="14083" width="4.75" style="230" customWidth="1"/>
    <col min="14084" max="14084" width="9.75" style="230" customWidth="1"/>
    <col min="14085" max="14085" width="9" style="230"/>
    <col min="14086" max="14086" width="5.875" style="230" customWidth="1"/>
    <col min="14087" max="14087" width="11.5" style="230" bestFit="1" customWidth="1"/>
    <col min="14088" max="14088" width="7" style="230" customWidth="1"/>
    <col min="14089" max="14091" width="0" style="230" hidden="1" customWidth="1"/>
    <col min="14092" max="14092" width="11" style="230" customWidth="1"/>
    <col min="14093" max="14093" width="5" style="230" customWidth="1"/>
    <col min="14094" max="14094" width="6.375" style="230" customWidth="1"/>
    <col min="14095" max="14095" width="0" style="230" hidden="1" customWidth="1"/>
    <col min="14096" max="14096" width="4.25" style="230" customWidth="1"/>
    <col min="14097" max="14097" width="9.125" style="230" bestFit="1" customWidth="1"/>
    <col min="14098" max="14336" width="9" style="230"/>
    <col min="14337" max="14337" width="11.25" style="230" customWidth="1"/>
    <col min="14338" max="14338" width="9" style="230"/>
    <col min="14339" max="14339" width="4.75" style="230" customWidth="1"/>
    <col min="14340" max="14340" width="9.75" style="230" customWidth="1"/>
    <col min="14341" max="14341" width="9" style="230"/>
    <col min="14342" max="14342" width="5.875" style="230" customWidth="1"/>
    <col min="14343" max="14343" width="11.5" style="230" bestFit="1" customWidth="1"/>
    <col min="14344" max="14344" width="7" style="230" customWidth="1"/>
    <col min="14345" max="14347" width="0" style="230" hidden="1" customWidth="1"/>
    <col min="14348" max="14348" width="11" style="230" customWidth="1"/>
    <col min="14349" max="14349" width="5" style="230" customWidth="1"/>
    <col min="14350" max="14350" width="6.375" style="230" customWidth="1"/>
    <col min="14351" max="14351" width="0" style="230" hidden="1" customWidth="1"/>
    <col min="14352" max="14352" width="4.25" style="230" customWidth="1"/>
    <col min="14353" max="14353" width="9.125" style="230" bestFit="1" customWidth="1"/>
    <col min="14354" max="14592" width="9" style="230"/>
    <col min="14593" max="14593" width="11.25" style="230" customWidth="1"/>
    <col min="14594" max="14594" width="9" style="230"/>
    <col min="14595" max="14595" width="4.75" style="230" customWidth="1"/>
    <col min="14596" max="14596" width="9.75" style="230" customWidth="1"/>
    <col min="14597" max="14597" width="9" style="230"/>
    <col min="14598" max="14598" width="5.875" style="230" customWidth="1"/>
    <col min="14599" max="14599" width="11.5" style="230" bestFit="1" customWidth="1"/>
    <col min="14600" max="14600" width="7" style="230" customWidth="1"/>
    <col min="14601" max="14603" width="0" style="230" hidden="1" customWidth="1"/>
    <col min="14604" max="14604" width="11" style="230" customWidth="1"/>
    <col min="14605" max="14605" width="5" style="230" customWidth="1"/>
    <col min="14606" max="14606" width="6.375" style="230" customWidth="1"/>
    <col min="14607" max="14607" width="0" style="230" hidden="1" customWidth="1"/>
    <col min="14608" max="14608" width="4.25" style="230" customWidth="1"/>
    <col min="14609" max="14609" width="9.125" style="230" bestFit="1" customWidth="1"/>
    <col min="14610" max="14848" width="9" style="230"/>
    <col min="14849" max="14849" width="11.25" style="230" customWidth="1"/>
    <col min="14850" max="14850" width="9" style="230"/>
    <col min="14851" max="14851" width="4.75" style="230" customWidth="1"/>
    <col min="14852" max="14852" width="9.75" style="230" customWidth="1"/>
    <col min="14853" max="14853" width="9" style="230"/>
    <col min="14854" max="14854" width="5.875" style="230" customWidth="1"/>
    <col min="14855" max="14855" width="11.5" style="230" bestFit="1" customWidth="1"/>
    <col min="14856" max="14856" width="7" style="230" customWidth="1"/>
    <col min="14857" max="14859" width="0" style="230" hidden="1" customWidth="1"/>
    <col min="14860" max="14860" width="11" style="230" customWidth="1"/>
    <col min="14861" max="14861" width="5" style="230" customWidth="1"/>
    <col min="14862" max="14862" width="6.375" style="230" customWidth="1"/>
    <col min="14863" max="14863" width="0" style="230" hidden="1" customWidth="1"/>
    <col min="14864" max="14864" width="4.25" style="230" customWidth="1"/>
    <col min="14865" max="14865" width="9.125" style="230" bestFit="1" customWidth="1"/>
    <col min="14866" max="15104" width="9" style="230"/>
    <col min="15105" max="15105" width="11.25" style="230" customWidth="1"/>
    <col min="15106" max="15106" width="9" style="230"/>
    <col min="15107" max="15107" width="4.75" style="230" customWidth="1"/>
    <col min="15108" max="15108" width="9.75" style="230" customWidth="1"/>
    <col min="15109" max="15109" width="9" style="230"/>
    <col min="15110" max="15110" width="5.875" style="230" customWidth="1"/>
    <col min="15111" max="15111" width="11.5" style="230" bestFit="1" customWidth="1"/>
    <col min="15112" max="15112" width="7" style="230" customWidth="1"/>
    <col min="15113" max="15115" width="0" style="230" hidden="1" customWidth="1"/>
    <col min="15116" max="15116" width="11" style="230" customWidth="1"/>
    <col min="15117" max="15117" width="5" style="230" customWidth="1"/>
    <col min="15118" max="15118" width="6.375" style="230" customWidth="1"/>
    <col min="15119" max="15119" width="0" style="230" hidden="1" customWidth="1"/>
    <col min="15120" max="15120" width="4.25" style="230" customWidth="1"/>
    <col min="15121" max="15121" width="9.125" style="230" bestFit="1" customWidth="1"/>
    <col min="15122" max="15360" width="9" style="230"/>
    <col min="15361" max="15361" width="11.25" style="230" customWidth="1"/>
    <col min="15362" max="15362" width="9" style="230"/>
    <col min="15363" max="15363" width="4.75" style="230" customWidth="1"/>
    <col min="15364" max="15364" width="9.75" style="230" customWidth="1"/>
    <col min="15365" max="15365" width="9" style="230"/>
    <col min="15366" max="15366" width="5.875" style="230" customWidth="1"/>
    <col min="15367" max="15367" width="11.5" style="230" bestFit="1" customWidth="1"/>
    <col min="15368" max="15368" width="7" style="230" customWidth="1"/>
    <col min="15369" max="15371" width="0" style="230" hidden="1" customWidth="1"/>
    <col min="15372" max="15372" width="11" style="230" customWidth="1"/>
    <col min="15373" max="15373" width="5" style="230" customWidth="1"/>
    <col min="15374" max="15374" width="6.375" style="230" customWidth="1"/>
    <col min="15375" max="15375" width="0" style="230" hidden="1" customWidth="1"/>
    <col min="15376" max="15376" width="4.25" style="230" customWidth="1"/>
    <col min="15377" max="15377" width="9.125" style="230" bestFit="1" customWidth="1"/>
    <col min="15378" max="15616" width="9" style="230"/>
    <col min="15617" max="15617" width="11.25" style="230" customWidth="1"/>
    <col min="15618" max="15618" width="9" style="230"/>
    <col min="15619" max="15619" width="4.75" style="230" customWidth="1"/>
    <col min="15620" max="15620" width="9.75" style="230" customWidth="1"/>
    <col min="15621" max="15621" width="9" style="230"/>
    <col min="15622" max="15622" width="5.875" style="230" customWidth="1"/>
    <col min="15623" max="15623" width="11.5" style="230" bestFit="1" customWidth="1"/>
    <col min="15624" max="15624" width="7" style="230" customWidth="1"/>
    <col min="15625" max="15627" width="0" style="230" hidden="1" customWidth="1"/>
    <col min="15628" max="15628" width="11" style="230" customWidth="1"/>
    <col min="15629" max="15629" width="5" style="230" customWidth="1"/>
    <col min="15630" max="15630" width="6.375" style="230" customWidth="1"/>
    <col min="15631" max="15631" width="0" style="230" hidden="1" customWidth="1"/>
    <col min="15632" max="15632" width="4.25" style="230" customWidth="1"/>
    <col min="15633" max="15633" width="9.125" style="230" bestFit="1" customWidth="1"/>
    <col min="15634" max="15872" width="9" style="230"/>
    <col min="15873" max="15873" width="11.25" style="230" customWidth="1"/>
    <col min="15874" max="15874" width="9" style="230"/>
    <col min="15875" max="15875" width="4.75" style="230" customWidth="1"/>
    <col min="15876" max="15876" width="9.75" style="230" customWidth="1"/>
    <col min="15877" max="15877" width="9" style="230"/>
    <col min="15878" max="15878" width="5.875" style="230" customWidth="1"/>
    <col min="15879" max="15879" width="11.5" style="230" bestFit="1" customWidth="1"/>
    <col min="15880" max="15880" width="7" style="230" customWidth="1"/>
    <col min="15881" max="15883" width="0" style="230" hidden="1" customWidth="1"/>
    <col min="15884" max="15884" width="11" style="230" customWidth="1"/>
    <col min="15885" max="15885" width="5" style="230" customWidth="1"/>
    <col min="15886" max="15886" width="6.375" style="230" customWidth="1"/>
    <col min="15887" max="15887" width="0" style="230" hidden="1" customWidth="1"/>
    <col min="15888" max="15888" width="4.25" style="230" customWidth="1"/>
    <col min="15889" max="15889" width="9.125" style="230" bestFit="1" customWidth="1"/>
    <col min="15890" max="16128" width="9" style="230"/>
    <col min="16129" max="16129" width="11.25" style="230" customWidth="1"/>
    <col min="16130" max="16130" width="9" style="230"/>
    <col min="16131" max="16131" width="4.75" style="230" customWidth="1"/>
    <col min="16132" max="16132" width="9.75" style="230" customWidth="1"/>
    <col min="16133" max="16133" width="9" style="230"/>
    <col min="16134" max="16134" width="5.875" style="230" customWidth="1"/>
    <col min="16135" max="16135" width="11.5" style="230" bestFit="1" customWidth="1"/>
    <col min="16136" max="16136" width="7" style="230" customWidth="1"/>
    <col min="16137" max="16139" width="0" style="230" hidden="1" customWidth="1"/>
    <col min="16140" max="16140" width="11" style="230" customWidth="1"/>
    <col min="16141" max="16141" width="5" style="230" customWidth="1"/>
    <col min="16142" max="16142" width="6.375" style="230" customWidth="1"/>
    <col min="16143" max="16143" width="0" style="230" hidden="1" customWidth="1"/>
    <col min="16144" max="16144" width="4.25" style="230" customWidth="1"/>
    <col min="16145" max="16145" width="9.125" style="230" bestFit="1" customWidth="1"/>
    <col min="16146" max="16384" width="9" style="230"/>
  </cols>
  <sheetData>
    <row r="1" spans="1:13">
      <c r="A1" s="229" t="s">
        <v>0</v>
      </c>
      <c r="B1" s="229"/>
      <c r="C1" s="229"/>
      <c r="E1" s="231"/>
    </row>
    <row r="2" spans="1:13">
      <c r="E2" s="231"/>
      <c r="F2" s="230" t="s">
        <v>243</v>
      </c>
    </row>
    <row r="3" spans="1:13">
      <c r="A3" s="229" t="s">
        <v>189</v>
      </c>
      <c r="E3" s="231"/>
    </row>
    <row r="4" spans="1:13">
      <c r="E4" s="231"/>
      <c r="F4" s="230" t="s">
        <v>244</v>
      </c>
      <c r="I4" s="232"/>
    </row>
    <row r="5" spans="1:13">
      <c r="A5" s="233"/>
      <c r="B5" s="233"/>
      <c r="C5" s="233"/>
      <c r="D5" s="233"/>
      <c r="E5" s="234"/>
      <c r="F5" s="233"/>
      <c r="G5" s="233"/>
      <c r="H5" s="233"/>
      <c r="I5" s="233"/>
      <c r="J5" s="233"/>
      <c r="L5" s="427" t="s">
        <v>190</v>
      </c>
      <c r="M5" s="427"/>
    </row>
    <row r="6" spans="1:13">
      <c r="A6" s="229" t="s">
        <v>297</v>
      </c>
      <c r="B6" s="229"/>
      <c r="C6" s="229"/>
      <c r="D6" s="229"/>
      <c r="E6" s="229"/>
      <c r="F6" s="229"/>
      <c r="I6" s="428" t="s">
        <v>191</v>
      </c>
      <c r="J6" s="429"/>
      <c r="L6" s="430">
        <v>2880609.94</v>
      </c>
      <c r="M6" s="431"/>
    </row>
    <row r="7" spans="1:13">
      <c r="A7" s="229" t="s">
        <v>192</v>
      </c>
      <c r="H7" s="231"/>
      <c r="I7" s="235"/>
      <c r="K7" s="236"/>
      <c r="L7" s="235"/>
    </row>
    <row r="8" spans="1:13">
      <c r="A8" s="230" t="s">
        <v>193</v>
      </c>
      <c r="I8" s="236"/>
      <c r="J8" s="235"/>
      <c r="L8" s="236"/>
      <c r="M8" s="235"/>
    </row>
    <row r="9" spans="1:13">
      <c r="A9" s="333"/>
      <c r="D9" s="432"/>
      <c r="E9" s="432"/>
      <c r="G9" s="302"/>
      <c r="I9" s="236"/>
      <c r="J9" s="235"/>
      <c r="L9" s="236"/>
      <c r="M9" s="235"/>
    </row>
    <row r="10" spans="1:13">
      <c r="A10" s="333"/>
      <c r="D10" s="432"/>
      <c r="E10" s="432"/>
      <c r="G10" s="302"/>
      <c r="I10" s="236"/>
      <c r="J10" s="235"/>
      <c r="L10" s="236"/>
      <c r="M10" s="235"/>
    </row>
    <row r="11" spans="1:13">
      <c r="G11" s="302"/>
      <c r="I11" s="236"/>
      <c r="J11" s="235"/>
      <c r="L11" s="236"/>
      <c r="M11" s="235"/>
    </row>
    <row r="12" spans="1:13">
      <c r="A12" s="237"/>
      <c r="D12" s="237"/>
      <c r="G12" s="238"/>
      <c r="I12" s="236"/>
      <c r="J12" s="235"/>
      <c r="L12" s="421">
        <f>SUM(G9:G11)</f>
        <v>0</v>
      </c>
      <c r="M12" s="422"/>
    </row>
    <row r="13" spans="1:13">
      <c r="A13" s="229" t="s">
        <v>194</v>
      </c>
      <c r="I13" s="236"/>
      <c r="J13" s="235"/>
      <c r="L13" s="236"/>
      <c r="M13" s="235"/>
    </row>
    <row r="14" spans="1:13">
      <c r="A14" s="230" t="s">
        <v>195</v>
      </c>
      <c r="I14" s="239">
        <v>7257493.21</v>
      </c>
      <c r="J14" s="235"/>
      <c r="L14" s="419"/>
      <c r="M14" s="420"/>
    </row>
    <row r="15" spans="1:13">
      <c r="A15" s="237"/>
      <c r="D15" s="305"/>
      <c r="G15" s="306"/>
      <c r="I15" s="239"/>
      <c r="J15" s="235"/>
      <c r="L15" s="357"/>
      <c r="M15" s="358"/>
    </row>
    <row r="16" spans="1:13">
      <c r="A16" s="237"/>
      <c r="D16" s="305"/>
      <c r="G16" s="306"/>
      <c r="I16" s="239"/>
      <c r="J16" s="235"/>
      <c r="L16" s="357"/>
      <c r="M16" s="358"/>
    </row>
    <row r="17" spans="1:17">
      <c r="A17" s="237"/>
      <c r="D17" s="305"/>
      <c r="G17" s="306"/>
      <c r="I17" s="236"/>
      <c r="J17" s="235"/>
      <c r="L17" s="421">
        <f>SUM(G15:G17)</f>
        <v>0</v>
      </c>
      <c r="M17" s="422"/>
    </row>
    <row r="18" spans="1:17">
      <c r="A18" s="237"/>
      <c r="D18" s="305"/>
      <c r="G18" s="306"/>
      <c r="I18" s="236"/>
      <c r="J18" s="235"/>
      <c r="L18" s="355"/>
      <c r="M18" s="356"/>
    </row>
    <row r="19" spans="1:17">
      <c r="A19" s="237"/>
      <c r="D19" s="305"/>
      <c r="G19" s="306"/>
      <c r="I19" s="236"/>
      <c r="J19" s="235"/>
      <c r="L19" s="355"/>
      <c r="M19" s="356"/>
    </row>
    <row r="20" spans="1:17">
      <c r="A20" s="229" t="s">
        <v>196</v>
      </c>
      <c r="D20" s="237"/>
      <c r="G20" s="240"/>
      <c r="I20" s="235"/>
      <c r="J20" s="235"/>
      <c r="L20" s="354"/>
      <c r="M20" s="241"/>
    </row>
    <row r="21" spans="1:17">
      <c r="A21" s="242" t="s">
        <v>197</v>
      </c>
      <c r="D21" s="237"/>
      <c r="G21" s="240"/>
      <c r="I21" s="235"/>
      <c r="J21" s="235"/>
      <c r="L21" s="354"/>
      <c r="M21" s="241"/>
    </row>
    <row r="22" spans="1:17">
      <c r="A22" s="230" t="s">
        <v>193</v>
      </c>
      <c r="D22" s="237"/>
      <c r="G22" s="240"/>
      <c r="I22" s="235"/>
      <c r="J22" s="235"/>
      <c r="L22" s="354"/>
      <c r="M22" s="241"/>
    </row>
    <row r="23" spans="1:17">
      <c r="A23" s="353" t="s">
        <v>298</v>
      </c>
      <c r="D23" s="353" t="s">
        <v>52</v>
      </c>
      <c r="G23" s="240">
        <v>4777.3999999999996</v>
      </c>
      <c r="I23" s="235"/>
      <c r="J23" s="235"/>
      <c r="L23" s="354"/>
      <c r="M23" s="241"/>
    </row>
    <row r="24" spans="1:17">
      <c r="A24" s="353"/>
      <c r="D24" s="237"/>
      <c r="G24" s="240"/>
      <c r="I24" s="235"/>
      <c r="J24" s="235"/>
      <c r="L24" s="354"/>
      <c r="M24" s="241"/>
    </row>
    <row r="25" spans="1:17">
      <c r="A25" s="237"/>
      <c r="D25" s="237"/>
      <c r="G25" s="307"/>
      <c r="H25" s="307"/>
      <c r="I25" s="235"/>
      <c r="J25" s="235"/>
      <c r="L25" s="354"/>
      <c r="M25" s="241"/>
    </row>
    <row r="26" spans="1:17">
      <c r="A26" s="243"/>
      <c r="D26" s="237"/>
      <c r="G26" s="240"/>
      <c r="I26" s="235"/>
      <c r="J26" s="235"/>
      <c r="L26" s="423">
        <f>SUM(G23:H26)</f>
        <v>4777.3999999999996</v>
      </c>
      <c r="M26" s="424"/>
    </row>
    <row r="27" spans="1:17">
      <c r="A27" s="244" t="s">
        <v>299</v>
      </c>
      <c r="B27" s="233"/>
      <c r="C27" s="233"/>
      <c r="D27" s="233"/>
      <c r="E27" s="233"/>
      <c r="F27" s="233"/>
      <c r="G27" s="233"/>
      <c r="H27" s="234"/>
      <c r="I27" s="245">
        <v>7256974.21</v>
      </c>
      <c r="J27" s="235"/>
      <c r="L27" s="425">
        <f>L6+L12-L17-L26</f>
        <v>2875832.54</v>
      </c>
      <c r="M27" s="426"/>
      <c r="Q27" s="246"/>
    </row>
    <row r="28" spans="1:17">
      <c r="A28" s="229" t="s">
        <v>158</v>
      </c>
      <c r="F28" s="236" t="s">
        <v>198</v>
      </c>
      <c r="I28" s="235"/>
      <c r="J28" s="233"/>
    </row>
    <row r="29" spans="1:17">
      <c r="F29" s="236"/>
      <c r="J29" s="235"/>
    </row>
    <row r="30" spans="1:17">
      <c r="A30" s="229" t="s">
        <v>199</v>
      </c>
      <c r="D30" s="229" t="s">
        <v>296</v>
      </c>
      <c r="F30" s="247" t="s">
        <v>200</v>
      </c>
      <c r="L30" s="229" t="str">
        <f>D30</f>
        <v>วันที่ 30 พ.ย. 2560</v>
      </c>
    </row>
    <row r="31" spans="1:17">
      <c r="A31" s="244" t="s">
        <v>201</v>
      </c>
      <c r="B31" s="233"/>
      <c r="C31" s="233"/>
      <c r="D31" s="233"/>
      <c r="E31" s="233"/>
      <c r="F31" s="248" t="s">
        <v>202</v>
      </c>
      <c r="G31" s="233"/>
      <c r="H31" s="233"/>
      <c r="I31" s="233"/>
      <c r="J31" s="233"/>
      <c r="K31" s="233"/>
      <c r="L31" s="233"/>
      <c r="M31" s="233"/>
    </row>
    <row r="32" spans="1:17">
      <c r="A32" s="235"/>
    </row>
    <row r="33" spans="1:1">
      <c r="A33" s="235"/>
    </row>
  </sheetData>
  <mergeCells count="10">
    <mergeCell ref="I6:J6"/>
    <mergeCell ref="L6:M6"/>
    <mergeCell ref="D9:E9"/>
    <mergeCell ref="D10:E10"/>
    <mergeCell ref="L12:M12"/>
    <mergeCell ref="L14:M14"/>
    <mergeCell ref="L17:M17"/>
    <mergeCell ref="L26:M26"/>
    <mergeCell ref="L27:M27"/>
    <mergeCell ref="L5:M5"/>
  </mergeCells>
  <pageMargins left="1.0236220472440944" right="0.23622047244094491" top="0.31496062992125984" bottom="0.15748031496062992" header="0.51181102362204722" footer="0.15748031496062992"/>
  <pageSetup paperSize="9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34"/>
  <sheetViews>
    <sheetView tabSelected="1" view="pageBreakPreview" topLeftCell="M76" zoomScaleSheetLayoutView="100" workbookViewId="0">
      <selection activeCell="E14" sqref="E14"/>
    </sheetView>
  </sheetViews>
  <sheetFormatPr defaultRowHeight="21.75"/>
  <cols>
    <col min="1" max="1" width="14.125" style="177" customWidth="1"/>
    <col min="2" max="2" width="11.25" style="177" bestFit="1" customWidth="1"/>
    <col min="3" max="3" width="8.125" style="177" bestFit="1" customWidth="1"/>
    <col min="4" max="4" width="11.25" style="177" bestFit="1" customWidth="1"/>
    <col min="5" max="5" width="9" style="177" bestFit="1" customWidth="1"/>
    <col min="6" max="7" width="11.25" style="177" bestFit="1" customWidth="1"/>
    <col min="8" max="8" width="9" style="177" bestFit="1" customWidth="1"/>
    <col min="9" max="10" width="11.25" style="177" bestFit="1" customWidth="1"/>
    <col min="11" max="12" width="9" style="177" bestFit="1" customWidth="1"/>
    <col min="13" max="14" width="5.25" style="177" bestFit="1" customWidth="1"/>
    <col min="15" max="15" width="9" style="177" bestFit="1" customWidth="1"/>
    <col min="16" max="16" width="8.125" style="177" bestFit="1" customWidth="1"/>
    <col min="17" max="17" width="11.25" style="177" bestFit="1" customWidth="1"/>
    <col min="18" max="19" width="12.125" style="177" bestFit="1" customWidth="1"/>
    <col min="20" max="20" width="9" style="177"/>
    <col min="21" max="21" width="10.5" style="177" bestFit="1" customWidth="1"/>
    <col min="22" max="257" width="9" style="177"/>
    <col min="258" max="258" width="14.125" style="177" customWidth="1"/>
    <col min="259" max="259" width="9.75" style="177" customWidth="1"/>
    <col min="260" max="260" width="7.875" style="177" customWidth="1"/>
    <col min="261" max="261" width="9.75" style="177" customWidth="1"/>
    <col min="262" max="262" width="7.875" style="177" customWidth="1"/>
    <col min="263" max="263" width="9.75" style="177" customWidth="1"/>
    <col min="264" max="264" width="8.625" style="177" customWidth="1"/>
    <col min="265" max="265" width="7.625" style="177" customWidth="1"/>
    <col min="266" max="267" width="9.75" style="177" customWidth="1"/>
    <col min="268" max="273" width="8.625" style="177" customWidth="1"/>
    <col min="274" max="274" width="9.75" style="177" customWidth="1"/>
    <col min="275" max="275" width="10.5" style="177" bestFit="1" customWidth="1"/>
    <col min="276" max="276" width="9" style="177"/>
    <col min="277" max="277" width="10.5" style="177" bestFit="1" customWidth="1"/>
    <col min="278" max="513" width="9" style="177"/>
    <col min="514" max="514" width="14.125" style="177" customWidth="1"/>
    <col min="515" max="515" width="9.75" style="177" customWidth="1"/>
    <col min="516" max="516" width="7.875" style="177" customWidth="1"/>
    <col min="517" max="517" width="9.75" style="177" customWidth="1"/>
    <col min="518" max="518" width="7.875" style="177" customWidth="1"/>
    <col min="519" max="519" width="9.75" style="177" customWidth="1"/>
    <col min="520" max="520" width="8.625" style="177" customWidth="1"/>
    <col min="521" max="521" width="7.625" style="177" customWidth="1"/>
    <col min="522" max="523" width="9.75" style="177" customWidth="1"/>
    <col min="524" max="529" width="8.625" style="177" customWidth="1"/>
    <col min="530" max="530" width="9.75" style="177" customWidth="1"/>
    <col min="531" max="531" width="10.5" style="177" bestFit="1" customWidth="1"/>
    <col min="532" max="532" width="9" style="177"/>
    <col min="533" max="533" width="10.5" style="177" bestFit="1" customWidth="1"/>
    <col min="534" max="769" width="9" style="177"/>
    <col min="770" max="770" width="14.125" style="177" customWidth="1"/>
    <col min="771" max="771" width="9.75" style="177" customWidth="1"/>
    <col min="772" max="772" width="7.875" style="177" customWidth="1"/>
    <col min="773" max="773" width="9.75" style="177" customWidth="1"/>
    <col min="774" max="774" width="7.875" style="177" customWidth="1"/>
    <col min="775" max="775" width="9.75" style="177" customWidth="1"/>
    <col min="776" max="776" width="8.625" style="177" customWidth="1"/>
    <col min="777" max="777" width="7.625" style="177" customWidth="1"/>
    <col min="778" max="779" width="9.75" style="177" customWidth="1"/>
    <col min="780" max="785" width="8.625" style="177" customWidth="1"/>
    <col min="786" max="786" width="9.75" style="177" customWidth="1"/>
    <col min="787" max="787" width="10.5" style="177" bestFit="1" customWidth="1"/>
    <col min="788" max="788" width="9" style="177"/>
    <col min="789" max="789" width="10.5" style="177" bestFit="1" customWidth="1"/>
    <col min="790" max="1025" width="9" style="177"/>
    <col min="1026" max="1026" width="14.125" style="177" customWidth="1"/>
    <col min="1027" max="1027" width="9.75" style="177" customWidth="1"/>
    <col min="1028" max="1028" width="7.875" style="177" customWidth="1"/>
    <col min="1029" max="1029" width="9.75" style="177" customWidth="1"/>
    <col min="1030" max="1030" width="7.875" style="177" customWidth="1"/>
    <col min="1031" max="1031" width="9.75" style="177" customWidth="1"/>
    <col min="1032" max="1032" width="8.625" style="177" customWidth="1"/>
    <col min="1033" max="1033" width="7.625" style="177" customWidth="1"/>
    <col min="1034" max="1035" width="9.75" style="177" customWidth="1"/>
    <col min="1036" max="1041" width="8.625" style="177" customWidth="1"/>
    <col min="1042" max="1042" width="9.75" style="177" customWidth="1"/>
    <col min="1043" max="1043" width="10.5" style="177" bestFit="1" customWidth="1"/>
    <col min="1044" max="1044" width="9" style="177"/>
    <col min="1045" max="1045" width="10.5" style="177" bestFit="1" customWidth="1"/>
    <col min="1046" max="1281" width="9" style="177"/>
    <col min="1282" max="1282" width="14.125" style="177" customWidth="1"/>
    <col min="1283" max="1283" width="9.75" style="177" customWidth="1"/>
    <col min="1284" max="1284" width="7.875" style="177" customWidth="1"/>
    <col min="1285" max="1285" width="9.75" style="177" customWidth="1"/>
    <col min="1286" max="1286" width="7.875" style="177" customWidth="1"/>
    <col min="1287" max="1287" width="9.75" style="177" customWidth="1"/>
    <col min="1288" max="1288" width="8.625" style="177" customWidth="1"/>
    <col min="1289" max="1289" width="7.625" style="177" customWidth="1"/>
    <col min="1290" max="1291" width="9.75" style="177" customWidth="1"/>
    <col min="1292" max="1297" width="8.625" style="177" customWidth="1"/>
    <col min="1298" max="1298" width="9.75" style="177" customWidth="1"/>
    <col min="1299" max="1299" width="10.5" style="177" bestFit="1" customWidth="1"/>
    <col min="1300" max="1300" width="9" style="177"/>
    <col min="1301" max="1301" width="10.5" style="177" bestFit="1" customWidth="1"/>
    <col min="1302" max="1537" width="9" style="177"/>
    <col min="1538" max="1538" width="14.125" style="177" customWidth="1"/>
    <col min="1539" max="1539" width="9.75" style="177" customWidth="1"/>
    <col min="1540" max="1540" width="7.875" style="177" customWidth="1"/>
    <col min="1541" max="1541" width="9.75" style="177" customWidth="1"/>
    <col min="1542" max="1542" width="7.875" style="177" customWidth="1"/>
    <col min="1543" max="1543" width="9.75" style="177" customWidth="1"/>
    <col min="1544" max="1544" width="8.625" style="177" customWidth="1"/>
    <col min="1545" max="1545" width="7.625" style="177" customWidth="1"/>
    <col min="1546" max="1547" width="9.75" style="177" customWidth="1"/>
    <col min="1548" max="1553" width="8.625" style="177" customWidth="1"/>
    <col min="1554" max="1554" width="9.75" style="177" customWidth="1"/>
    <col min="1555" max="1555" width="10.5" style="177" bestFit="1" customWidth="1"/>
    <col min="1556" max="1556" width="9" style="177"/>
    <col min="1557" max="1557" width="10.5" style="177" bestFit="1" customWidth="1"/>
    <col min="1558" max="1793" width="9" style="177"/>
    <col min="1794" max="1794" width="14.125" style="177" customWidth="1"/>
    <col min="1795" max="1795" width="9.75" style="177" customWidth="1"/>
    <col min="1796" max="1796" width="7.875" style="177" customWidth="1"/>
    <col min="1797" max="1797" width="9.75" style="177" customWidth="1"/>
    <col min="1798" max="1798" width="7.875" style="177" customWidth="1"/>
    <col min="1799" max="1799" width="9.75" style="177" customWidth="1"/>
    <col min="1800" max="1800" width="8.625" style="177" customWidth="1"/>
    <col min="1801" max="1801" width="7.625" style="177" customWidth="1"/>
    <col min="1802" max="1803" width="9.75" style="177" customWidth="1"/>
    <col min="1804" max="1809" width="8.625" style="177" customWidth="1"/>
    <col min="1810" max="1810" width="9.75" style="177" customWidth="1"/>
    <col min="1811" max="1811" width="10.5" style="177" bestFit="1" customWidth="1"/>
    <col min="1812" max="1812" width="9" style="177"/>
    <col min="1813" max="1813" width="10.5" style="177" bestFit="1" customWidth="1"/>
    <col min="1814" max="2049" width="9" style="177"/>
    <col min="2050" max="2050" width="14.125" style="177" customWidth="1"/>
    <col min="2051" max="2051" width="9.75" style="177" customWidth="1"/>
    <col min="2052" max="2052" width="7.875" style="177" customWidth="1"/>
    <col min="2053" max="2053" width="9.75" style="177" customWidth="1"/>
    <col min="2054" max="2054" width="7.875" style="177" customWidth="1"/>
    <col min="2055" max="2055" width="9.75" style="177" customWidth="1"/>
    <col min="2056" max="2056" width="8.625" style="177" customWidth="1"/>
    <col min="2057" max="2057" width="7.625" style="177" customWidth="1"/>
    <col min="2058" max="2059" width="9.75" style="177" customWidth="1"/>
    <col min="2060" max="2065" width="8.625" style="177" customWidth="1"/>
    <col min="2066" max="2066" width="9.75" style="177" customWidth="1"/>
    <col min="2067" max="2067" width="10.5" style="177" bestFit="1" customWidth="1"/>
    <col min="2068" max="2068" width="9" style="177"/>
    <col min="2069" max="2069" width="10.5" style="177" bestFit="1" customWidth="1"/>
    <col min="2070" max="2305" width="9" style="177"/>
    <col min="2306" max="2306" width="14.125" style="177" customWidth="1"/>
    <col min="2307" max="2307" width="9.75" style="177" customWidth="1"/>
    <col min="2308" max="2308" width="7.875" style="177" customWidth="1"/>
    <col min="2309" max="2309" width="9.75" style="177" customWidth="1"/>
    <col min="2310" max="2310" width="7.875" style="177" customWidth="1"/>
    <col min="2311" max="2311" width="9.75" style="177" customWidth="1"/>
    <col min="2312" max="2312" width="8.625" style="177" customWidth="1"/>
    <col min="2313" max="2313" width="7.625" style="177" customWidth="1"/>
    <col min="2314" max="2315" width="9.75" style="177" customWidth="1"/>
    <col min="2316" max="2321" width="8.625" style="177" customWidth="1"/>
    <col min="2322" max="2322" width="9.75" style="177" customWidth="1"/>
    <col min="2323" max="2323" width="10.5" style="177" bestFit="1" customWidth="1"/>
    <col min="2324" max="2324" width="9" style="177"/>
    <col min="2325" max="2325" width="10.5" style="177" bestFit="1" customWidth="1"/>
    <col min="2326" max="2561" width="9" style="177"/>
    <col min="2562" max="2562" width="14.125" style="177" customWidth="1"/>
    <col min="2563" max="2563" width="9.75" style="177" customWidth="1"/>
    <col min="2564" max="2564" width="7.875" style="177" customWidth="1"/>
    <col min="2565" max="2565" width="9.75" style="177" customWidth="1"/>
    <col min="2566" max="2566" width="7.875" style="177" customWidth="1"/>
    <col min="2567" max="2567" width="9.75" style="177" customWidth="1"/>
    <col min="2568" max="2568" width="8.625" style="177" customWidth="1"/>
    <col min="2569" max="2569" width="7.625" style="177" customWidth="1"/>
    <col min="2570" max="2571" width="9.75" style="177" customWidth="1"/>
    <col min="2572" max="2577" width="8.625" style="177" customWidth="1"/>
    <col min="2578" max="2578" width="9.75" style="177" customWidth="1"/>
    <col min="2579" max="2579" width="10.5" style="177" bestFit="1" customWidth="1"/>
    <col min="2580" max="2580" width="9" style="177"/>
    <col min="2581" max="2581" width="10.5" style="177" bestFit="1" customWidth="1"/>
    <col min="2582" max="2817" width="9" style="177"/>
    <col min="2818" max="2818" width="14.125" style="177" customWidth="1"/>
    <col min="2819" max="2819" width="9.75" style="177" customWidth="1"/>
    <col min="2820" max="2820" width="7.875" style="177" customWidth="1"/>
    <col min="2821" max="2821" width="9.75" style="177" customWidth="1"/>
    <col min="2822" max="2822" width="7.875" style="177" customWidth="1"/>
    <col min="2823" max="2823" width="9.75" style="177" customWidth="1"/>
    <col min="2824" max="2824" width="8.625" style="177" customWidth="1"/>
    <col min="2825" max="2825" width="7.625" style="177" customWidth="1"/>
    <col min="2826" max="2827" width="9.75" style="177" customWidth="1"/>
    <col min="2828" max="2833" width="8.625" style="177" customWidth="1"/>
    <col min="2834" max="2834" width="9.75" style="177" customWidth="1"/>
    <col min="2835" max="2835" width="10.5" style="177" bestFit="1" customWidth="1"/>
    <col min="2836" max="2836" width="9" style="177"/>
    <col min="2837" max="2837" width="10.5" style="177" bestFit="1" customWidth="1"/>
    <col min="2838" max="3073" width="9" style="177"/>
    <col min="3074" max="3074" width="14.125" style="177" customWidth="1"/>
    <col min="3075" max="3075" width="9.75" style="177" customWidth="1"/>
    <col min="3076" max="3076" width="7.875" style="177" customWidth="1"/>
    <col min="3077" max="3077" width="9.75" style="177" customWidth="1"/>
    <col min="3078" max="3078" width="7.875" style="177" customWidth="1"/>
    <col min="3079" max="3079" width="9.75" style="177" customWidth="1"/>
    <col min="3080" max="3080" width="8.625" style="177" customWidth="1"/>
    <col min="3081" max="3081" width="7.625" style="177" customWidth="1"/>
    <col min="3082" max="3083" width="9.75" style="177" customWidth="1"/>
    <col min="3084" max="3089" width="8.625" style="177" customWidth="1"/>
    <col min="3090" max="3090" width="9.75" style="177" customWidth="1"/>
    <col min="3091" max="3091" width="10.5" style="177" bestFit="1" customWidth="1"/>
    <col min="3092" max="3092" width="9" style="177"/>
    <col min="3093" max="3093" width="10.5" style="177" bestFit="1" customWidth="1"/>
    <col min="3094" max="3329" width="9" style="177"/>
    <col min="3330" max="3330" width="14.125" style="177" customWidth="1"/>
    <col min="3331" max="3331" width="9.75" style="177" customWidth="1"/>
    <col min="3332" max="3332" width="7.875" style="177" customWidth="1"/>
    <col min="3333" max="3333" width="9.75" style="177" customWidth="1"/>
    <col min="3334" max="3334" width="7.875" style="177" customWidth="1"/>
    <col min="3335" max="3335" width="9.75" style="177" customWidth="1"/>
    <col min="3336" max="3336" width="8.625" style="177" customWidth="1"/>
    <col min="3337" max="3337" width="7.625" style="177" customWidth="1"/>
    <col min="3338" max="3339" width="9.75" style="177" customWidth="1"/>
    <col min="3340" max="3345" width="8.625" style="177" customWidth="1"/>
    <col min="3346" max="3346" width="9.75" style="177" customWidth="1"/>
    <col min="3347" max="3347" width="10.5" style="177" bestFit="1" customWidth="1"/>
    <col min="3348" max="3348" width="9" style="177"/>
    <col min="3349" max="3349" width="10.5" style="177" bestFit="1" customWidth="1"/>
    <col min="3350" max="3585" width="9" style="177"/>
    <col min="3586" max="3586" width="14.125" style="177" customWidth="1"/>
    <col min="3587" max="3587" width="9.75" style="177" customWidth="1"/>
    <col min="3588" max="3588" width="7.875" style="177" customWidth="1"/>
    <col min="3589" max="3589" width="9.75" style="177" customWidth="1"/>
    <col min="3590" max="3590" width="7.875" style="177" customWidth="1"/>
    <col min="3591" max="3591" width="9.75" style="177" customWidth="1"/>
    <col min="3592" max="3592" width="8.625" style="177" customWidth="1"/>
    <col min="3593" max="3593" width="7.625" style="177" customWidth="1"/>
    <col min="3594" max="3595" width="9.75" style="177" customWidth="1"/>
    <col min="3596" max="3601" width="8.625" style="177" customWidth="1"/>
    <col min="3602" max="3602" width="9.75" style="177" customWidth="1"/>
    <col min="3603" max="3603" width="10.5" style="177" bestFit="1" customWidth="1"/>
    <col min="3604" max="3604" width="9" style="177"/>
    <col min="3605" max="3605" width="10.5" style="177" bestFit="1" customWidth="1"/>
    <col min="3606" max="3841" width="9" style="177"/>
    <col min="3842" max="3842" width="14.125" style="177" customWidth="1"/>
    <col min="3843" max="3843" width="9.75" style="177" customWidth="1"/>
    <col min="3844" max="3844" width="7.875" style="177" customWidth="1"/>
    <col min="3845" max="3845" width="9.75" style="177" customWidth="1"/>
    <col min="3846" max="3846" width="7.875" style="177" customWidth="1"/>
    <col min="3847" max="3847" width="9.75" style="177" customWidth="1"/>
    <col min="3848" max="3848" width="8.625" style="177" customWidth="1"/>
    <col min="3849" max="3849" width="7.625" style="177" customWidth="1"/>
    <col min="3850" max="3851" width="9.75" style="177" customWidth="1"/>
    <col min="3852" max="3857" width="8.625" style="177" customWidth="1"/>
    <col min="3858" max="3858" width="9.75" style="177" customWidth="1"/>
    <col min="3859" max="3859" width="10.5" style="177" bestFit="1" customWidth="1"/>
    <col min="3860" max="3860" width="9" style="177"/>
    <col min="3861" max="3861" width="10.5" style="177" bestFit="1" customWidth="1"/>
    <col min="3862" max="4097" width="9" style="177"/>
    <col min="4098" max="4098" width="14.125" style="177" customWidth="1"/>
    <col min="4099" max="4099" width="9.75" style="177" customWidth="1"/>
    <col min="4100" max="4100" width="7.875" style="177" customWidth="1"/>
    <col min="4101" max="4101" width="9.75" style="177" customWidth="1"/>
    <col min="4102" max="4102" width="7.875" style="177" customWidth="1"/>
    <col min="4103" max="4103" width="9.75" style="177" customWidth="1"/>
    <col min="4104" max="4104" width="8.625" style="177" customWidth="1"/>
    <col min="4105" max="4105" width="7.625" style="177" customWidth="1"/>
    <col min="4106" max="4107" width="9.75" style="177" customWidth="1"/>
    <col min="4108" max="4113" width="8.625" style="177" customWidth="1"/>
    <col min="4114" max="4114" width="9.75" style="177" customWidth="1"/>
    <col min="4115" max="4115" width="10.5" style="177" bestFit="1" customWidth="1"/>
    <col min="4116" max="4116" width="9" style="177"/>
    <col min="4117" max="4117" width="10.5" style="177" bestFit="1" customWidth="1"/>
    <col min="4118" max="4353" width="9" style="177"/>
    <col min="4354" max="4354" width="14.125" style="177" customWidth="1"/>
    <col min="4355" max="4355" width="9.75" style="177" customWidth="1"/>
    <col min="4356" max="4356" width="7.875" style="177" customWidth="1"/>
    <col min="4357" max="4357" width="9.75" style="177" customWidth="1"/>
    <col min="4358" max="4358" width="7.875" style="177" customWidth="1"/>
    <col min="4359" max="4359" width="9.75" style="177" customWidth="1"/>
    <col min="4360" max="4360" width="8.625" style="177" customWidth="1"/>
    <col min="4361" max="4361" width="7.625" style="177" customWidth="1"/>
    <col min="4362" max="4363" width="9.75" style="177" customWidth="1"/>
    <col min="4364" max="4369" width="8.625" style="177" customWidth="1"/>
    <col min="4370" max="4370" width="9.75" style="177" customWidth="1"/>
    <col min="4371" max="4371" width="10.5" style="177" bestFit="1" customWidth="1"/>
    <col min="4372" max="4372" width="9" style="177"/>
    <col min="4373" max="4373" width="10.5" style="177" bestFit="1" customWidth="1"/>
    <col min="4374" max="4609" width="9" style="177"/>
    <col min="4610" max="4610" width="14.125" style="177" customWidth="1"/>
    <col min="4611" max="4611" width="9.75" style="177" customWidth="1"/>
    <col min="4612" max="4612" width="7.875" style="177" customWidth="1"/>
    <col min="4613" max="4613" width="9.75" style="177" customWidth="1"/>
    <col min="4614" max="4614" width="7.875" style="177" customWidth="1"/>
    <col min="4615" max="4615" width="9.75" style="177" customWidth="1"/>
    <col min="4616" max="4616" width="8.625" style="177" customWidth="1"/>
    <col min="4617" max="4617" width="7.625" style="177" customWidth="1"/>
    <col min="4618" max="4619" width="9.75" style="177" customWidth="1"/>
    <col min="4620" max="4625" width="8.625" style="177" customWidth="1"/>
    <col min="4626" max="4626" width="9.75" style="177" customWidth="1"/>
    <col min="4627" max="4627" width="10.5" style="177" bestFit="1" customWidth="1"/>
    <col min="4628" max="4628" width="9" style="177"/>
    <col min="4629" max="4629" width="10.5" style="177" bestFit="1" customWidth="1"/>
    <col min="4630" max="4865" width="9" style="177"/>
    <col min="4866" max="4866" width="14.125" style="177" customWidth="1"/>
    <col min="4867" max="4867" width="9.75" style="177" customWidth="1"/>
    <col min="4868" max="4868" width="7.875" style="177" customWidth="1"/>
    <col min="4869" max="4869" width="9.75" style="177" customWidth="1"/>
    <col min="4870" max="4870" width="7.875" style="177" customWidth="1"/>
    <col min="4871" max="4871" width="9.75" style="177" customWidth="1"/>
    <col min="4872" max="4872" width="8.625" style="177" customWidth="1"/>
    <col min="4873" max="4873" width="7.625" style="177" customWidth="1"/>
    <col min="4874" max="4875" width="9.75" style="177" customWidth="1"/>
    <col min="4876" max="4881" width="8.625" style="177" customWidth="1"/>
    <col min="4882" max="4882" width="9.75" style="177" customWidth="1"/>
    <col min="4883" max="4883" width="10.5" style="177" bestFit="1" customWidth="1"/>
    <col min="4884" max="4884" width="9" style="177"/>
    <col min="4885" max="4885" width="10.5" style="177" bestFit="1" customWidth="1"/>
    <col min="4886" max="5121" width="9" style="177"/>
    <col min="5122" max="5122" width="14.125" style="177" customWidth="1"/>
    <col min="5123" max="5123" width="9.75" style="177" customWidth="1"/>
    <col min="5124" max="5124" width="7.875" style="177" customWidth="1"/>
    <col min="5125" max="5125" width="9.75" style="177" customWidth="1"/>
    <col min="5126" max="5126" width="7.875" style="177" customWidth="1"/>
    <col min="5127" max="5127" width="9.75" style="177" customWidth="1"/>
    <col min="5128" max="5128" width="8.625" style="177" customWidth="1"/>
    <col min="5129" max="5129" width="7.625" style="177" customWidth="1"/>
    <col min="5130" max="5131" width="9.75" style="177" customWidth="1"/>
    <col min="5132" max="5137" width="8.625" style="177" customWidth="1"/>
    <col min="5138" max="5138" width="9.75" style="177" customWidth="1"/>
    <col min="5139" max="5139" width="10.5" style="177" bestFit="1" customWidth="1"/>
    <col min="5140" max="5140" width="9" style="177"/>
    <col min="5141" max="5141" width="10.5" style="177" bestFit="1" customWidth="1"/>
    <col min="5142" max="5377" width="9" style="177"/>
    <col min="5378" max="5378" width="14.125" style="177" customWidth="1"/>
    <col min="5379" max="5379" width="9.75" style="177" customWidth="1"/>
    <col min="5380" max="5380" width="7.875" style="177" customWidth="1"/>
    <col min="5381" max="5381" width="9.75" style="177" customWidth="1"/>
    <col min="5382" max="5382" width="7.875" style="177" customWidth="1"/>
    <col min="5383" max="5383" width="9.75" style="177" customWidth="1"/>
    <col min="5384" max="5384" width="8.625" style="177" customWidth="1"/>
    <col min="5385" max="5385" width="7.625" style="177" customWidth="1"/>
    <col min="5386" max="5387" width="9.75" style="177" customWidth="1"/>
    <col min="5388" max="5393" width="8.625" style="177" customWidth="1"/>
    <col min="5394" max="5394" width="9.75" style="177" customWidth="1"/>
    <col min="5395" max="5395" width="10.5" style="177" bestFit="1" customWidth="1"/>
    <col min="5396" max="5396" width="9" style="177"/>
    <col min="5397" max="5397" width="10.5" style="177" bestFit="1" customWidth="1"/>
    <col min="5398" max="5633" width="9" style="177"/>
    <col min="5634" max="5634" width="14.125" style="177" customWidth="1"/>
    <col min="5635" max="5635" width="9.75" style="177" customWidth="1"/>
    <col min="5636" max="5636" width="7.875" style="177" customWidth="1"/>
    <col min="5637" max="5637" width="9.75" style="177" customWidth="1"/>
    <col min="5638" max="5638" width="7.875" style="177" customWidth="1"/>
    <col min="5639" max="5639" width="9.75" style="177" customWidth="1"/>
    <col min="5640" max="5640" width="8.625" style="177" customWidth="1"/>
    <col min="5641" max="5641" width="7.625" style="177" customWidth="1"/>
    <col min="5642" max="5643" width="9.75" style="177" customWidth="1"/>
    <col min="5644" max="5649" width="8.625" style="177" customWidth="1"/>
    <col min="5650" max="5650" width="9.75" style="177" customWidth="1"/>
    <col min="5651" max="5651" width="10.5" style="177" bestFit="1" customWidth="1"/>
    <col min="5652" max="5652" width="9" style="177"/>
    <col min="5653" max="5653" width="10.5" style="177" bestFit="1" customWidth="1"/>
    <col min="5654" max="5889" width="9" style="177"/>
    <col min="5890" max="5890" width="14.125" style="177" customWidth="1"/>
    <col min="5891" max="5891" width="9.75" style="177" customWidth="1"/>
    <col min="5892" max="5892" width="7.875" style="177" customWidth="1"/>
    <col min="5893" max="5893" width="9.75" style="177" customWidth="1"/>
    <col min="5894" max="5894" width="7.875" style="177" customWidth="1"/>
    <col min="5895" max="5895" width="9.75" style="177" customWidth="1"/>
    <col min="5896" max="5896" width="8.625" style="177" customWidth="1"/>
    <col min="5897" max="5897" width="7.625" style="177" customWidth="1"/>
    <col min="5898" max="5899" width="9.75" style="177" customWidth="1"/>
    <col min="5900" max="5905" width="8.625" style="177" customWidth="1"/>
    <col min="5906" max="5906" width="9.75" style="177" customWidth="1"/>
    <col min="5907" max="5907" width="10.5" style="177" bestFit="1" customWidth="1"/>
    <col min="5908" max="5908" width="9" style="177"/>
    <col min="5909" max="5909" width="10.5" style="177" bestFit="1" customWidth="1"/>
    <col min="5910" max="6145" width="9" style="177"/>
    <col min="6146" max="6146" width="14.125" style="177" customWidth="1"/>
    <col min="6147" max="6147" width="9.75" style="177" customWidth="1"/>
    <col min="6148" max="6148" width="7.875" style="177" customWidth="1"/>
    <col min="6149" max="6149" width="9.75" style="177" customWidth="1"/>
    <col min="6150" max="6150" width="7.875" style="177" customWidth="1"/>
    <col min="6151" max="6151" width="9.75" style="177" customWidth="1"/>
    <col min="6152" max="6152" width="8.625" style="177" customWidth="1"/>
    <col min="6153" max="6153" width="7.625" style="177" customWidth="1"/>
    <col min="6154" max="6155" width="9.75" style="177" customWidth="1"/>
    <col min="6156" max="6161" width="8.625" style="177" customWidth="1"/>
    <col min="6162" max="6162" width="9.75" style="177" customWidth="1"/>
    <col min="6163" max="6163" width="10.5" style="177" bestFit="1" customWidth="1"/>
    <col min="6164" max="6164" width="9" style="177"/>
    <col min="6165" max="6165" width="10.5" style="177" bestFit="1" customWidth="1"/>
    <col min="6166" max="6401" width="9" style="177"/>
    <col min="6402" max="6402" width="14.125" style="177" customWidth="1"/>
    <col min="6403" max="6403" width="9.75" style="177" customWidth="1"/>
    <col min="6404" max="6404" width="7.875" style="177" customWidth="1"/>
    <col min="6405" max="6405" width="9.75" style="177" customWidth="1"/>
    <col min="6406" max="6406" width="7.875" style="177" customWidth="1"/>
    <col min="6407" max="6407" width="9.75" style="177" customWidth="1"/>
    <col min="6408" max="6408" width="8.625" style="177" customWidth="1"/>
    <col min="6409" max="6409" width="7.625" style="177" customWidth="1"/>
    <col min="6410" max="6411" width="9.75" style="177" customWidth="1"/>
    <col min="6412" max="6417" width="8.625" style="177" customWidth="1"/>
    <col min="6418" max="6418" width="9.75" style="177" customWidth="1"/>
    <col min="6419" max="6419" width="10.5" style="177" bestFit="1" customWidth="1"/>
    <col min="6420" max="6420" width="9" style="177"/>
    <col min="6421" max="6421" width="10.5" style="177" bestFit="1" customWidth="1"/>
    <col min="6422" max="6657" width="9" style="177"/>
    <col min="6658" max="6658" width="14.125" style="177" customWidth="1"/>
    <col min="6659" max="6659" width="9.75" style="177" customWidth="1"/>
    <col min="6660" max="6660" width="7.875" style="177" customWidth="1"/>
    <col min="6661" max="6661" width="9.75" style="177" customWidth="1"/>
    <col min="6662" max="6662" width="7.875" style="177" customWidth="1"/>
    <col min="6663" max="6663" width="9.75" style="177" customWidth="1"/>
    <col min="6664" max="6664" width="8.625" style="177" customWidth="1"/>
    <col min="6665" max="6665" width="7.625" style="177" customWidth="1"/>
    <col min="6666" max="6667" width="9.75" style="177" customWidth="1"/>
    <col min="6668" max="6673" width="8.625" style="177" customWidth="1"/>
    <col min="6674" max="6674" width="9.75" style="177" customWidth="1"/>
    <col min="6675" max="6675" width="10.5" style="177" bestFit="1" customWidth="1"/>
    <col min="6676" max="6676" width="9" style="177"/>
    <col min="6677" max="6677" width="10.5" style="177" bestFit="1" customWidth="1"/>
    <col min="6678" max="6913" width="9" style="177"/>
    <col min="6914" max="6914" width="14.125" style="177" customWidth="1"/>
    <col min="6915" max="6915" width="9.75" style="177" customWidth="1"/>
    <col min="6916" max="6916" width="7.875" style="177" customWidth="1"/>
    <col min="6917" max="6917" width="9.75" style="177" customWidth="1"/>
    <col min="6918" max="6918" width="7.875" style="177" customWidth="1"/>
    <col min="6919" max="6919" width="9.75" style="177" customWidth="1"/>
    <col min="6920" max="6920" width="8.625" style="177" customWidth="1"/>
    <col min="6921" max="6921" width="7.625" style="177" customWidth="1"/>
    <col min="6922" max="6923" width="9.75" style="177" customWidth="1"/>
    <col min="6924" max="6929" width="8.625" style="177" customWidth="1"/>
    <col min="6930" max="6930" width="9.75" style="177" customWidth="1"/>
    <col min="6931" max="6931" width="10.5" style="177" bestFit="1" customWidth="1"/>
    <col min="6932" max="6932" width="9" style="177"/>
    <col min="6933" max="6933" width="10.5" style="177" bestFit="1" customWidth="1"/>
    <col min="6934" max="7169" width="9" style="177"/>
    <col min="7170" max="7170" width="14.125" style="177" customWidth="1"/>
    <col min="7171" max="7171" width="9.75" style="177" customWidth="1"/>
    <col min="7172" max="7172" width="7.875" style="177" customWidth="1"/>
    <col min="7173" max="7173" width="9.75" style="177" customWidth="1"/>
    <col min="7174" max="7174" width="7.875" style="177" customWidth="1"/>
    <col min="7175" max="7175" width="9.75" style="177" customWidth="1"/>
    <col min="7176" max="7176" width="8.625" style="177" customWidth="1"/>
    <col min="7177" max="7177" width="7.625" style="177" customWidth="1"/>
    <col min="7178" max="7179" width="9.75" style="177" customWidth="1"/>
    <col min="7180" max="7185" width="8.625" style="177" customWidth="1"/>
    <col min="7186" max="7186" width="9.75" style="177" customWidth="1"/>
    <col min="7187" max="7187" width="10.5" style="177" bestFit="1" customWidth="1"/>
    <col min="7188" max="7188" width="9" style="177"/>
    <col min="7189" max="7189" width="10.5" style="177" bestFit="1" customWidth="1"/>
    <col min="7190" max="7425" width="9" style="177"/>
    <col min="7426" max="7426" width="14.125" style="177" customWidth="1"/>
    <col min="7427" max="7427" width="9.75" style="177" customWidth="1"/>
    <col min="7428" max="7428" width="7.875" style="177" customWidth="1"/>
    <col min="7429" max="7429" width="9.75" style="177" customWidth="1"/>
    <col min="7430" max="7430" width="7.875" style="177" customWidth="1"/>
    <col min="7431" max="7431" width="9.75" style="177" customWidth="1"/>
    <col min="7432" max="7432" width="8.625" style="177" customWidth="1"/>
    <col min="7433" max="7433" width="7.625" style="177" customWidth="1"/>
    <col min="7434" max="7435" width="9.75" style="177" customWidth="1"/>
    <col min="7436" max="7441" width="8.625" style="177" customWidth="1"/>
    <col min="7442" max="7442" width="9.75" style="177" customWidth="1"/>
    <col min="7443" max="7443" width="10.5" style="177" bestFit="1" customWidth="1"/>
    <col min="7444" max="7444" width="9" style="177"/>
    <col min="7445" max="7445" width="10.5" style="177" bestFit="1" customWidth="1"/>
    <col min="7446" max="7681" width="9" style="177"/>
    <col min="7682" max="7682" width="14.125" style="177" customWidth="1"/>
    <col min="7683" max="7683" width="9.75" style="177" customWidth="1"/>
    <col min="7684" max="7684" width="7.875" style="177" customWidth="1"/>
    <col min="7685" max="7685" width="9.75" style="177" customWidth="1"/>
    <col min="7686" max="7686" width="7.875" style="177" customWidth="1"/>
    <col min="7687" max="7687" width="9.75" style="177" customWidth="1"/>
    <col min="7688" max="7688" width="8.625" style="177" customWidth="1"/>
    <col min="7689" max="7689" width="7.625" style="177" customWidth="1"/>
    <col min="7690" max="7691" width="9.75" style="177" customWidth="1"/>
    <col min="7692" max="7697" width="8.625" style="177" customWidth="1"/>
    <col min="7698" max="7698" width="9.75" style="177" customWidth="1"/>
    <col min="7699" max="7699" width="10.5" style="177" bestFit="1" customWidth="1"/>
    <col min="7700" max="7700" width="9" style="177"/>
    <col min="7701" max="7701" width="10.5" style="177" bestFit="1" customWidth="1"/>
    <col min="7702" max="7937" width="9" style="177"/>
    <col min="7938" max="7938" width="14.125" style="177" customWidth="1"/>
    <col min="7939" max="7939" width="9.75" style="177" customWidth="1"/>
    <col min="7940" max="7940" width="7.875" style="177" customWidth="1"/>
    <col min="7941" max="7941" width="9.75" style="177" customWidth="1"/>
    <col min="7942" max="7942" width="7.875" style="177" customWidth="1"/>
    <col min="7943" max="7943" width="9.75" style="177" customWidth="1"/>
    <col min="7944" max="7944" width="8.625" style="177" customWidth="1"/>
    <col min="7945" max="7945" width="7.625" style="177" customWidth="1"/>
    <col min="7946" max="7947" width="9.75" style="177" customWidth="1"/>
    <col min="7948" max="7953" width="8.625" style="177" customWidth="1"/>
    <col min="7954" max="7954" width="9.75" style="177" customWidth="1"/>
    <col min="7955" max="7955" width="10.5" style="177" bestFit="1" customWidth="1"/>
    <col min="7956" max="7956" width="9" style="177"/>
    <col min="7957" max="7957" width="10.5" style="177" bestFit="1" customWidth="1"/>
    <col min="7958" max="8193" width="9" style="177"/>
    <col min="8194" max="8194" width="14.125" style="177" customWidth="1"/>
    <col min="8195" max="8195" width="9.75" style="177" customWidth="1"/>
    <col min="8196" max="8196" width="7.875" style="177" customWidth="1"/>
    <col min="8197" max="8197" width="9.75" style="177" customWidth="1"/>
    <col min="8198" max="8198" width="7.875" style="177" customWidth="1"/>
    <col min="8199" max="8199" width="9.75" style="177" customWidth="1"/>
    <col min="8200" max="8200" width="8.625" style="177" customWidth="1"/>
    <col min="8201" max="8201" width="7.625" style="177" customWidth="1"/>
    <col min="8202" max="8203" width="9.75" style="177" customWidth="1"/>
    <col min="8204" max="8209" width="8.625" style="177" customWidth="1"/>
    <col min="8210" max="8210" width="9.75" style="177" customWidth="1"/>
    <col min="8211" max="8211" width="10.5" style="177" bestFit="1" customWidth="1"/>
    <col min="8212" max="8212" width="9" style="177"/>
    <col min="8213" max="8213" width="10.5" style="177" bestFit="1" customWidth="1"/>
    <col min="8214" max="8449" width="9" style="177"/>
    <col min="8450" max="8450" width="14.125" style="177" customWidth="1"/>
    <col min="8451" max="8451" width="9.75" style="177" customWidth="1"/>
    <col min="8452" max="8452" width="7.875" style="177" customWidth="1"/>
    <col min="8453" max="8453" width="9.75" style="177" customWidth="1"/>
    <col min="8454" max="8454" width="7.875" style="177" customWidth="1"/>
    <col min="8455" max="8455" width="9.75" style="177" customWidth="1"/>
    <col min="8456" max="8456" width="8.625" style="177" customWidth="1"/>
    <col min="8457" max="8457" width="7.625" style="177" customWidth="1"/>
    <col min="8458" max="8459" width="9.75" style="177" customWidth="1"/>
    <col min="8460" max="8465" width="8.625" style="177" customWidth="1"/>
    <col min="8466" max="8466" width="9.75" style="177" customWidth="1"/>
    <col min="8467" max="8467" width="10.5" style="177" bestFit="1" customWidth="1"/>
    <col min="8468" max="8468" width="9" style="177"/>
    <col min="8469" max="8469" width="10.5" style="177" bestFit="1" customWidth="1"/>
    <col min="8470" max="8705" width="9" style="177"/>
    <col min="8706" max="8706" width="14.125" style="177" customWidth="1"/>
    <col min="8707" max="8707" width="9.75" style="177" customWidth="1"/>
    <col min="8708" max="8708" width="7.875" style="177" customWidth="1"/>
    <col min="8709" max="8709" width="9.75" style="177" customWidth="1"/>
    <col min="8710" max="8710" width="7.875" style="177" customWidth="1"/>
    <col min="8711" max="8711" width="9.75" style="177" customWidth="1"/>
    <col min="8712" max="8712" width="8.625" style="177" customWidth="1"/>
    <col min="8713" max="8713" width="7.625" style="177" customWidth="1"/>
    <col min="8714" max="8715" width="9.75" style="177" customWidth="1"/>
    <col min="8716" max="8721" width="8.625" style="177" customWidth="1"/>
    <col min="8722" max="8722" width="9.75" style="177" customWidth="1"/>
    <col min="8723" max="8723" width="10.5" style="177" bestFit="1" customWidth="1"/>
    <col min="8724" max="8724" width="9" style="177"/>
    <col min="8725" max="8725" width="10.5" style="177" bestFit="1" customWidth="1"/>
    <col min="8726" max="8961" width="9" style="177"/>
    <col min="8962" max="8962" width="14.125" style="177" customWidth="1"/>
    <col min="8963" max="8963" width="9.75" style="177" customWidth="1"/>
    <col min="8964" max="8964" width="7.875" style="177" customWidth="1"/>
    <col min="8965" max="8965" width="9.75" style="177" customWidth="1"/>
    <col min="8966" max="8966" width="7.875" style="177" customWidth="1"/>
    <col min="8967" max="8967" width="9.75" style="177" customWidth="1"/>
    <col min="8968" max="8968" width="8.625" style="177" customWidth="1"/>
    <col min="8969" max="8969" width="7.625" style="177" customWidth="1"/>
    <col min="8970" max="8971" width="9.75" style="177" customWidth="1"/>
    <col min="8972" max="8977" width="8.625" style="177" customWidth="1"/>
    <col min="8978" max="8978" width="9.75" style="177" customWidth="1"/>
    <col min="8979" max="8979" width="10.5" style="177" bestFit="1" customWidth="1"/>
    <col min="8980" max="8980" width="9" style="177"/>
    <col min="8981" max="8981" width="10.5" style="177" bestFit="1" customWidth="1"/>
    <col min="8982" max="9217" width="9" style="177"/>
    <col min="9218" max="9218" width="14.125" style="177" customWidth="1"/>
    <col min="9219" max="9219" width="9.75" style="177" customWidth="1"/>
    <col min="9220" max="9220" width="7.875" style="177" customWidth="1"/>
    <col min="9221" max="9221" width="9.75" style="177" customWidth="1"/>
    <col min="9222" max="9222" width="7.875" style="177" customWidth="1"/>
    <col min="9223" max="9223" width="9.75" style="177" customWidth="1"/>
    <col min="9224" max="9224" width="8.625" style="177" customWidth="1"/>
    <col min="9225" max="9225" width="7.625" style="177" customWidth="1"/>
    <col min="9226" max="9227" width="9.75" style="177" customWidth="1"/>
    <col min="9228" max="9233" width="8.625" style="177" customWidth="1"/>
    <col min="9234" max="9234" width="9.75" style="177" customWidth="1"/>
    <col min="9235" max="9235" width="10.5" style="177" bestFit="1" customWidth="1"/>
    <col min="9236" max="9236" width="9" style="177"/>
    <col min="9237" max="9237" width="10.5" style="177" bestFit="1" customWidth="1"/>
    <col min="9238" max="9473" width="9" style="177"/>
    <col min="9474" max="9474" width="14.125" style="177" customWidth="1"/>
    <col min="9475" max="9475" width="9.75" style="177" customWidth="1"/>
    <col min="9476" max="9476" width="7.875" style="177" customWidth="1"/>
    <col min="9477" max="9477" width="9.75" style="177" customWidth="1"/>
    <col min="9478" max="9478" width="7.875" style="177" customWidth="1"/>
    <col min="9479" max="9479" width="9.75" style="177" customWidth="1"/>
    <col min="9480" max="9480" width="8.625" style="177" customWidth="1"/>
    <col min="9481" max="9481" width="7.625" style="177" customWidth="1"/>
    <col min="9482" max="9483" width="9.75" style="177" customWidth="1"/>
    <col min="9484" max="9489" width="8.625" style="177" customWidth="1"/>
    <col min="9490" max="9490" width="9.75" style="177" customWidth="1"/>
    <col min="9491" max="9491" width="10.5" style="177" bestFit="1" customWidth="1"/>
    <col min="9492" max="9492" width="9" style="177"/>
    <col min="9493" max="9493" width="10.5" style="177" bestFit="1" customWidth="1"/>
    <col min="9494" max="9729" width="9" style="177"/>
    <col min="9730" max="9730" width="14.125" style="177" customWidth="1"/>
    <col min="9731" max="9731" width="9.75" style="177" customWidth="1"/>
    <col min="9732" max="9732" width="7.875" style="177" customWidth="1"/>
    <col min="9733" max="9733" width="9.75" style="177" customWidth="1"/>
    <col min="9734" max="9734" width="7.875" style="177" customWidth="1"/>
    <col min="9735" max="9735" width="9.75" style="177" customWidth="1"/>
    <col min="9736" max="9736" width="8.625" style="177" customWidth="1"/>
    <col min="9737" max="9737" width="7.625" style="177" customWidth="1"/>
    <col min="9738" max="9739" width="9.75" style="177" customWidth="1"/>
    <col min="9740" max="9745" width="8.625" style="177" customWidth="1"/>
    <col min="9746" max="9746" width="9.75" style="177" customWidth="1"/>
    <col min="9747" max="9747" width="10.5" style="177" bestFit="1" customWidth="1"/>
    <col min="9748" max="9748" width="9" style="177"/>
    <col min="9749" max="9749" width="10.5" style="177" bestFit="1" customWidth="1"/>
    <col min="9750" max="9985" width="9" style="177"/>
    <col min="9986" max="9986" width="14.125" style="177" customWidth="1"/>
    <col min="9987" max="9987" width="9.75" style="177" customWidth="1"/>
    <col min="9988" max="9988" width="7.875" style="177" customWidth="1"/>
    <col min="9989" max="9989" width="9.75" style="177" customWidth="1"/>
    <col min="9990" max="9990" width="7.875" style="177" customWidth="1"/>
    <col min="9991" max="9991" width="9.75" style="177" customWidth="1"/>
    <col min="9992" max="9992" width="8.625" style="177" customWidth="1"/>
    <col min="9993" max="9993" width="7.625" style="177" customWidth="1"/>
    <col min="9994" max="9995" width="9.75" style="177" customWidth="1"/>
    <col min="9996" max="10001" width="8.625" style="177" customWidth="1"/>
    <col min="10002" max="10002" width="9.75" style="177" customWidth="1"/>
    <col min="10003" max="10003" width="10.5" style="177" bestFit="1" customWidth="1"/>
    <col min="10004" max="10004" width="9" style="177"/>
    <col min="10005" max="10005" width="10.5" style="177" bestFit="1" customWidth="1"/>
    <col min="10006" max="10241" width="9" style="177"/>
    <col min="10242" max="10242" width="14.125" style="177" customWidth="1"/>
    <col min="10243" max="10243" width="9.75" style="177" customWidth="1"/>
    <col min="10244" max="10244" width="7.875" style="177" customWidth="1"/>
    <col min="10245" max="10245" width="9.75" style="177" customWidth="1"/>
    <col min="10246" max="10246" width="7.875" style="177" customWidth="1"/>
    <col min="10247" max="10247" width="9.75" style="177" customWidth="1"/>
    <col min="10248" max="10248" width="8.625" style="177" customWidth="1"/>
    <col min="10249" max="10249" width="7.625" style="177" customWidth="1"/>
    <col min="10250" max="10251" width="9.75" style="177" customWidth="1"/>
    <col min="10252" max="10257" width="8.625" style="177" customWidth="1"/>
    <col min="10258" max="10258" width="9.75" style="177" customWidth="1"/>
    <col min="10259" max="10259" width="10.5" style="177" bestFit="1" customWidth="1"/>
    <col min="10260" max="10260" width="9" style="177"/>
    <col min="10261" max="10261" width="10.5" style="177" bestFit="1" customWidth="1"/>
    <col min="10262" max="10497" width="9" style="177"/>
    <col min="10498" max="10498" width="14.125" style="177" customWidth="1"/>
    <col min="10499" max="10499" width="9.75" style="177" customWidth="1"/>
    <col min="10500" max="10500" width="7.875" style="177" customWidth="1"/>
    <col min="10501" max="10501" width="9.75" style="177" customWidth="1"/>
    <col min="10502" max="10502" width="7.875" style="177" customWidth="1"/>
    <col min="10503" max="10503" width="9.75" style="177" customWidth="1"/>
    <col min="10504" max="10504" width="8.625" style="177" customWidth="1"/>
    <col min="10505" max="10505" width="7.625" style="177" customWidth="1"/>
    <col min="10506" max="10507" width="9.75" style="177" customWidth="1"/>
    <col min="10508" max="10513" width="8.625" style="177" customWidth="1"/>
    <col min="10514" max="10514" width="9.75" style="177" customWidth="1"/>
    <col min="10515" max="10515" width="10.5" style="177" bestFit="1" customWidth="1"/>
    <col min="10516" max="10516" width="9" style="177"/>
    <col min="10517" max="10517" width="10.5" style="177" bestFit="1" customWidth="1"/>
    <col min="10518" max="10753" width="9" style="177"/>
    <col min="10754" max="10754" width="14.125" style="177" customWidth="1"/>
    <col min="10755" max="10755" width="9.75" style="177" customWidth="1"/>
    <col min="10756" max="10756" width="7.875" style="177" customWidth="1"/>
    <col min="10757" max="10757" width="9.75" style="177" customWidth="1"/>
    <col min="10758" max="10758" width="7.875" style="177" customWidth="1"/>
    <col min="10759" max="10759" width="9.75" style="177" customWidth="1"/>
    <col min="10760" max="10760" width="8.625" style="177" customWidth="1"/>
    <col min="10761" max="10761" width="7.625" style="177" customWidth="1"/>
    <col min="10762" max="10763" width="9.75" style="177" customWidth="1"/>
    <col min="10764" max="10769" width="8.625" style="177" customWidth="1"/>
    <col min="10770" max="10770" width="9.75" style="177" customWidth="1"/>
    <col min="10771" max="10771" width="10.5" style="177" bestFit="1" customWidth="1"/>
    <col min="10772" max="10772" width="9" style="177"/>
    <col min="10773" max="10773" width="10.5" style="177" bestFit="1" customWidth="1"/>
    <col min="10774" max="11009" width="9" style="177"/>
    <col min="11010" max="11010" width="14.125" style="177" customWidth="1"/>
    <col min="11011" max="11011" width="9.75" style="177" customWidth="1"/>
    <col min="11012" max="11012" width="7.875" style="177" customWidth="1"/>
    <col min="11013" max="11013" width="9.75" style="177" customWidth="1"/>
    <col min="11014" max="11014" width="7.875" style="177" customWidth="1"/>
    <col min="11015" max="11015" width="9.75" style="177" customWidth="1"/>
    <col min="11016" max="11016" width="8.625" style="177" customWidth="1"/>
    <col min="11017" max="11017" width="7.625" style="177" customWidth="1"/>
    <col min="11018" max="11019" width="9.75" style="177" customWidth="1"/>
    <col min="11020" max="11025" width="8.625" style="177" customWidth="1"/>
    <col min="11026" max="11026" width="9.75" style="177" customWidth="1"/>
    <col min="11027" max="11027" width="10.5" style="177" bestFit="1" customWidth="1"/>
    <col min="11028" max="11028" width="9" style="177"/>
    <col min="11029" max="11029" width="10.5" style="177" bestFit="1" customWidth="1"/>
    <col min="11030" max="11265" width="9" style="177"/>
    <col min="11266" max="11266" width="14.125" style="177" customWidth="1"/>
    <col min="11267" max="11267" width="9.75" style="177" customWidth="1"/>
    <col min="11268" max="11268" width="7.875" style="177" customWidth="1"/>
    <col min="11269" max="11269" width="9.75" style="177" customWidth="1"/>
    <col min="11270" max="11270" width="7.875" style="177" customWidth="1"/>
    <col min="11271" max="11271" width="9.75" style="177" customWidth="1"/>
    <col min="11272" max="11272" width="8.625" style="177" customWidth="1"/>
    <col min="11273" max="11273" width="7.625" style="177" customWidth="1"/>
    <col min="11274" max="11275" width="9.75" style="177" customWidth="1"/>
    <col min="11276" max="11281" width="8.625" style="177" customWidth="1"/>
    <col min="11282" max="11282" width="9.75" style="177" customWidth="1"/>
    <col min="11283" max="11283" width="10.5" style="177" bestFit="1" customWidth="1"/>
    <col min="11284" max="11284" width="9" style="177"/>
    <col min="11285" max="11285" width="10.5" style="177" bestFit="1" customWidth="1"/>
    <col min="11286" max="11521" width="9" style="177"/>
    <col min="11522" max="11522" width="14.125" style="177" customWidth="1"/>
    <col min="11523" max="11523" width="9.75" style="177" customWidth="1"/>
    <col min="11524" max="11524" width="7.875" style="177" customWidth="1"/>
    <col min="11525" max="11525" width="9.75" style="177" customWidth="1"/>
    <col min="11526" max="11526" width="7.875" style="177" customWidth="1"/>
    <col min="11527" max="11527" width="9.75" style="177" customWidth="1"/>
    <col min="11528" max="11528" width="8.625" style="177" customWidth="1"/>
    <col min="11529" max="11529" width="7.625" style="177" customWidth="1"/>
    <col min="11530" max="11531" width="9.75" style="177" customWidth="1"/>
    <col min="11532" max="11537" width="8.625" style="177" customWidth="1"/>
    <col min="11538" max="11538" width="9.75" style="177" customWidth="1"/>
    <col min="11539" max="11539" width="10.5" style="177" bestFit="1" customWidth="1"/>
    <col min="11540" max="11540" width="9" style="177"/>
    <col min="11541" max="11541" width="10.5" style="177" bestFit="1" customWidth="1"/>
    <col min="11542" max="11777" width="9" style="177"/>
    <col min="11778" max="11778" width="14.125" style="177" customWidth="1"/>
    <col min="11779" max="11779" width="9.75" style="177" customWidth="1"/>
    <col min="11780" max="11780" width="7.875" style="177" customWidth="1"/>
    <col min="11781" max="11781" width="9.75" style="177" customWidth="1"/>
    <col min="11782" max="11782" width="7.875" style="177" customWidth="1"/>
    <col min="11783" max="11783" width="9.75" style="177" customWidth="1"/>
    <col min="11784" max="11784" width="8.625" style="177" customWidth="1"/>
    <col min="11785" max="11785" width="7.625" style="177" customWidth="1"/>
    <col min="11786" max="11787" width="9.75" style="177" customWidth="1"/>
    <col min="11788" max="11793" width="8.625" style="177" customWidth="1"/>
    <col min="11794" max="11794" width="9.75" style="177" customWidth="1"/>
    <col min="11795" max="11795" width="10.5" style="177" bestFit="1" customWidth="1"/>
    <col min="11796" max="11796" width="9" style="177"/>
    <col min="11797" max="11797" width="10.5" style="177" bestFit="1" customWidth="1"/>
    <col min="11798" max="12033" width="9" style="177"/>
    <col min="12034" max="12034" width="14.125" style="177" customWidth="1"/>
    <col min="12035" max="12035" width="9.75" style="177" customWidth="1"/>
    <col min="12036" max="12036" width="7.875" style="177" customWidth="1"/>
    <col min="12037" max="12037" width="9.75" style="177" customWidth="1"/>
    <col min="12038" max="12038" width="7.875" style="177" customWidth="1"/>
    <col min="12039" max="12039" width="9.75" style="177" customWidth="1"/>
    <col min="12040" max="12040" width="8.625" style="177" customWidth="1"/>
    <col min="12041" max="12041" width="7.625" style="177" customWidth="1"/>
    <col min="12042" max="12043" width="9.75" style="177" customWidth="1"/>
    <col min="12044" max="12049" width="8.625" style="177" customWidth="1"/>
    <col min="12050" max="12050" width="9.75" style="177" customWidth="1"/>
    <col min="12051" max="12051" width="10.5" style="177" bestFit="1" customWidth="1"/>
    <col min="12052" max="12052" width="9" style="177"/>
    <col min="12053" max="12053" width="10.5" style="177" bestFit="1" customWidth="1"/>
    <col min="12054" max="12289" width="9" style="177"/>
    <col min="12290" max="12290" width="14.125" style="177" customWidth="1"/>
    <col min="12291" max="12291" width="9.75" style="177" customWidth="1"/>
    <col min="12292" max="12292" width="7.875" style="177" customWidth="1"/>
    <col min="12293" max="12293" width="9.75" style="177" customWidth="1"/>
    <col min="12294" max="12294" width="7.875" style="177" customWidth="1"/>
    <col min="12295" max="12295" width="9.75" style="177" customWidth="1"/>
    <col min="12296" max="12296" width="8.625" style="177" customWidth="1"/>
    <col min="12297" max="12297" width="7.625" style="177" customWidth="1"/>
    <col min="12298" max="12299" width="9.75" style="177" customWidth="1"/>
    <col min="12300" max="12305" width="8.625" style="177" customWidth="1"/>
    <col min="12306" max="12306" width="9.75" style="177" customWidth="1"/>
    <col min="12307" max="12307" width="10.5" style="177" bestFit="1" customWidth="1"/>
    <col min="12308" max="12308" width="9" style="177"/>
    <col min="12309" max="12309" width="10.5" style="177" bestFit="1" customWidth="1"/>
    <col min="12310" max="12545" width="9" style="177"/>
    <col min="12546" max="12546" width="14.125" style="177" customWidth="1"/>
    <col min="12547" max="12547" width="9.75" style="177" customWidth="1"/>
    <col min="12548" max="12548" width="7.875" style="177" customWidth="1"/>
    <col min="12549" max="12549" width="9.75" style="177" customWidth="1"/>
    <col min="12550" max="12550" width="7.875" style="177" customWidth="1"/>
    <col min="12551" max="12551" width="9.75" style="177" customWidth="1"/>
    <col min="12552" max="12552" width="8.625" style="177" customWidth="1"/>
    <col min="12553" max="12553" width="7.625" style="177" customWidth="1"/>
    <col min="12554" max="12555" width="9.75" style="177" customWidth="1"/>
    <col min="12556" max="12561" width="8.625" style="177" customWidth="1"/>
    <col min="12562" max="12562" width="9.75" style="177" customWidth="1"/>
    <col min="12563" max="12563" width="10.5" style="177" bestFit="1" customWidth="1"/>
    <col min="12564" max="12564" width="9" style="177"/>
    <col min="12565" max="12565" width="10.5" style="177" bestFit="1" customWidth="1"/>
    <col min="12566" max="12801" width="9" style="177"/>
    <col min="12802" max="12802" width="14.125" style="177" customWidth="1"/>
    <col min="12803" max="12803" width="9.75" style="177" customWidth="1"/>
    <col min="12804" max="12804" width="7.875" style="177" customWidth="1"/>
    <col min="12805" max="12805" width="9.75" style="177" customWidth="1"/>
    <col min="12806" max="12806" width="7.875" style="177" customWidth="1"/>
    <col min="12807" max="12807" width="9.75" style="177" customWidth="1"/>
    <col min="12808" max="12808" width="8.625" style="177" customWidth="1"/>
    <col min="12809" max="12809" width="7.625" style="177" customWidth="1"/>
    <col min="12810" max="12811" width="9.75" style="177" customWidth="1"/>
    <col min="12812" max="12817" width="8.625" style="177" customWidth="1"/>
    <col min="12818" max="12818" width="9.75" style="177" customWidth="1"/>
    <col min="12819" max="12819" width="10.5" style="177" bestFit="1" customWidth="1"/>
    <col min="12820" max="12820" width="9" style="177"/>
    <col min="12821" max="12821" width="10.5" style="177" bestFit="1" customWidth="1"/>
    <col min="12822" max="13057" width="9" style="177"/>
    <col min="13058" max="13058" width="14.125" style="177" customWidth="1"/>
    <col min="13059" max="13059" width="9.75" style="177" customWidth="1"/>
    <col min="13060" max="13060" width="7.875" style="177" customWidth="1"/>
    <col min="13061" max="13061" width="9.75" style="177" customWidth="1"/>
    <col min="13062" max="13062" width="7.875" style="177" customWidth="1"/>
    <col min="13063" max="13063" width="9.75" style="177" customWidth="1"/>
    <col min="13064" max="13064" width="8.625" style="177" customWidth="1"/>
    <col min="13065" max="13065" width="7.625" style="177" customWidth="1"/>
    <col min="13066" max="13067" width="9.75" style="177" customWidth="1"/>
    <col min="13068" max="13073" width="8.625" style="177" customWidth="1"/>
    <col min="13074" max="13074" width="9.75" style="177" customWidth="1"/>
    <col min="13075" max="13075" width="10.5" style="177" bestFit="1" customWidth="1"/>
    <col min="13076" max="13076" width="9" style="177"/>
    <col min="13077" max="13077" width="10.5" style="177" bestFit="1" customWidth="1"/>
    <col min="13078" max="13313" width="9" style="177"/>
    <col min="13314" max="13314" width="14.125" style="177" customWidth="1"/>
    <col min="13315" max="13315" width="9.75" style="177" customWidth="1"/>
    <col min="13316" max="13316" width="7.875" style="177" customWidth="1"/>
    <col min="13317" max="13317" width="9.75" style="177" customWidth="1"/>
    <col min="13318" max="13318" width="7.875" style="177" customWidth="1"/>
    <col min="13319" max="13319" width="9.75" style="177" customWidth="1"/>
    <col min="13320" max="13320" width="8.625" style="177" customWidth="1"/>
    <col min="13321" max="13321" width="7.625" style="177" customWidth="1"/>
    <col min="13322" max="13323" width="9.75" style="177" customWidth="1"/>
    <col min="13324" max="13329" width="8.625" style="177" customWidth="1"/>
    <col min="13330" max="13330" width="9.75" style="177" customWidth="1"/>
    <col min="13331" max="13331" width="10.5" style="177" bestFit="1" customWidth="1"/>
    <col min="13332" max="13332" width="9" style="177"/>
    <col min="13333" max="13333" width="10.5" style="177" bestFit="1" customWidth="1"/>
    <col min="13334" max="13569" width="9" style="177"/>
    <col min="13570" max="13570" width="14.125" style="177" customWidth="1"/>
    <col min="13571" max="13571" width="9.75" style="177" customWidth="1"/>
    <col min="13572" max="13572" width="7.875" style="177" customWidth="1"/>
    <col min="13573" max="13573" width="9.75" style="177" customWidth="1"/>
    <col min="13574" max="13574" width="7.875" style="177" customWidth="1"/>
    <col min="13575" max="13575" width="9.75" style="177" customWidth="1"/>
    <col min="13576" max="13576" width="8.625" style="177" customWidth="1"/>
    <col min="13577" max="13577" width="7.625" style="177" customWidth="1"/>
    <col min="13578" max="13579" width="9.75" style="177" customWidth="1"/>
    <col min="13580" max="13585" width="8.625" style="177" customWidth="1"/>
    <col min="13586" max="13586" width="9.75" style="177" customWidth="1"/>
    <col min="13587" max="13587" width="10.5" style="177" bestFit="1" customWidth="1"/>
    <col min="13588" max="13588" width="9" style="177"/>
    <col min="13589" max="13589" width="10.5" style="177" bestFit="1" customWidth="1"/>
    <col min="13590" max="13825" width="9" style="177"/>
    <col min="13826" max="13826" width="14.125" style="177" customWidth="1"/>
    <col min="13827" max="13827" width="9.75" style="177" customWidth="1"/>
    <col min="13828" max="13828" width="7.875" style="177" customWidth="1"/>
    <col min="13829" max="13829" width="9.75" style="177" customWidth="1"/>
    <col min="13830" max="13830" width="7.875" style="177" customWidth="1"/>
    <col min="13831" max="13831" width="9.75" style="177" customWidth="1"/>
    <col min="13832" max="13832" width="8.625" style="177" customWidth="1"/>
    <col min="13833" max="13833" width="7.625" style="177" customWidth="1"/>
    <col min="13834" max="13835" width="9.75" style="177" customWidth="1"/>
    <col min="13836" max="13841" width="8.625" style="177" customWidth="1"/>
    <col min="13842" max="13842" width="9.75" style="177" customWidth="1"/>
    <col min="13843" max="13843" width="10.5" style="177" bestFit="1" customWidth="1"/>
    <col min="13844" max="13844" width="9" style="177"/>
    <col min="13845" max="13845" width="10.5" style="177" bestFit="1" customWidth="1"/>
    <col min="13846" max="14081" width="9" style="177"/>
    <col min="14082" max="14082" width="14.125" style="177" customWidth="1"/>
    <col min="14083" max="14083" width="9.75" style="177" customWidth="1"/>
    <col min="14084" max="14084" width="7.875" style="177" customWidth="1"/>
    <col min="14085" max="14085" width="9.75" style="177" customWidth="1"/>
    <col min="14086" max="14086" width="7.875" style="177" customWidth="1"/>
    <col min="14087" max="14087" width="9.75" style="177" customWidth="1"/>
    <col min="14088" max="14088" width="8.625" style="177" customWidth="1"/>
    <col min="14089" max="14089" width="7.625" style="177" customWidth="1"/>
    <col min="14090" max="14091" width="9.75" style="177" customWidth="1"/>
    <col min="14092" max="14097" width="8.625" style="177" customWidth="1"/>
    <col min="14098" max="14098" width="9.75" style="177" customWidth="1"/>
    <col min="14099" max="14099" width="10.5" style="177" bestFit="1" customWidth="1"/>
    <col min="14100" max="14100" width="9" style="177"/>
    <col min="14101" max="14101" width="10.5" style="177" bestFit="1" customWidth="1"/>
    <col min="14102" max="14337" width="9" style="177"/>
    <col min="14338" max="14338" width="14.125" style="177" customWidth="1"/>
    <col min="14339" max="14339" width="9.75" style="177" customWidth="1"/>
    <col min="14340" max="14340" width="7.875" style="177" customWidth="1"/>
    <col min="14341" max="14341" width="9.75" style="177" customWidth="1"/>
    <col min="14342" max="14342" width="7.875" style="177" customWidth="1"/>
    <col min="14343" max="14343" width="9.75" style="177" customWidth="1"/>
    <col min="14344" max="14344" width="8.625" style="177" customWidth="1"/>
    <col min="14345" max="14345" width="7.625" style="177" customWidth="1"/>
    <col min="14346" max="14347" width="9.75" style="177" customWidth="1"/>
    <col min="14348" max="14353" width="8.625" style="177" customWidth="1"/>
    <col min="14354" max="14354" width="9.75" style="177" customWidth="1"/>
    <col min="14355" max="14355" width="10.5" style="177" bestFit="1" customWidth="1"/>
    <col min="14356" max="14356" width="9" style="177"/>
    <col min="14357" max="14357" width="10.5" style="177" bestFit="1" customWidth="1"/>
    <col min="14358" max="14593" width="9" style="177"/>
    <col min="14594" max="14594" width="14.125" style="177" customWidth="1"/>
    <col min="14595" max="14595" width="9.75" style="177" customWidth="1"/>
    <col min="14596" max="14596" width="7.875" style="177" customWidth="1"/>
    <col min="14597" max="14597" width="9.75" style="177" customWidth="1"/>
    <col min="14598" max="14598" width="7.875" style="177" customWidth="1"/>
    <col min="14599" max="14599" width="9.75" style="177" customWidth="1"/>
    <col min="14600" max="14600" width="8.625" style="177" customWidth="1"/>
    <col min="14601" max="14601" width="7.625" style="177" customWidth="1"/>
    <col min="14602" max="14603" width="9.75" style="177" customWidth="1"/>
    <col min="14604" max="14609" width="8.625" style="177" customWidth="1"/>
    <col min="14610" max="14610" width="9.75" style="177" customWidth="1"/>
    <col min="14611" max="14611" width="10.5" style="177" bestFit="1" customWidth="1"/>
    <col min="14612" max="14612" width="9" style="177"/>
    <col min="14613" max="14613" width="10.5" style="177" bestFit="1" customWidth="1"/>
    <col min="14614" max="14849" width="9" style="177"/>
    <col min="14850" max="14850" width="14.125" style="177" customWidth="1"/>
    <col min="14851" max="14851" width="9.75" style="177" customWidth="1"/>
    <col min="14852" max="14852" width="7.875" style="177" customWidth="1"/>
    <col min="14853" max="14853" width="9.75" style="177" customWidth="1"/>
    <col min="14854" max="14854" width="7.875" style="177" customWidth="1"/>
    <col min="14855" max="14855" width="9.75" style="177" customWidth="1"/>
    <col min="14856" max="14856" width="8.625" style="177" customWidth="1"/>
    <col min="14857" max="14857" width="7.625" style="177" customWidth="1"/>
    <col min="14858" max="14859" width="9.75" style="177" customWidth="1"/>
    <col min="14860" max="14865" width="8.625" style="177" customWidth="1"/>
    <col min="14866" max="14866" width="9.75" style="177" customWidth="1"/>
    <col min="14867" max="14867" width="10.5" style="177" bestFit="1" customWidth="1"/>
    <col min="14868" max="14868" width="9" style="177"/>
    <col min="14869" max="14869" width="10.5" style="177" bestFit="1" customWidth="1"/>
    <col min="14870" max="15105" width="9" style="177"/>
    <col min="15106" max="15106" width="14.125" style="177" customWidth="1"/>
    <col min="15107" max="15107" width="9.75" style="177" customWidth="1"/>
    <col min="15108" max="15108" width="7.875" style="177" customWidth="1"/>
    <col min="15109" max="15109" width="9.75" style="177" customWidth="1"/>
    <col min="15110" max="15110" width="7.875" style="177" customWidth="1"/>
    <col min="15111" max="15111" width="9.75" style="177" customWidth="1"/>
    <col min="15112" max="15112" width="8.625" style="177" customWidth="1"/>
    <col min="15113" max="15113" width="7.625" style="177" customWidth="1"/>
    <col min="15114" max="15115" width="9.75" style="177" customWidth="1"/>
    <col min="15116" max="15121" width="8.625" style="177" customWidth="1"/>
    <col min="15122" max="15122" width="9.75" style="177" customWidth="1"/>
    <col min="15123" max="15123" width="10.5" style="177" bestFit="1" customWidth="1"/>
    <col min="15124" max="15124" width="9" style="177"/>
    <col min="15125" max="15125" width="10.5" style="177" bestFit="1" customWidth="1"/>
    <col min="15126" max="15361" width="9" style="177"/>
    <col min="15362" max="15362" width="14.125" style="177" customWidth="1"/>
    <col min="15363" max="15363" width="9.75" style="177" customWidth="1"/>
    <col min="15364" max="15364" width="7.875" style="177" customWidth="1"/>
    <col min="15365" max="15365" width="9.75" style="177" customWidth="1"/>
    <col min="15366" max="15366" width="7.875" style="177" customWidth="1"/>
    <col min="15367" max="15367" width="9.75" style="177" customWidth="1"/>
    <col min="15368" max="15368" width="8.625" style="177" customWidth="1"/>
    <col min="15369" max="15369" width="7.625" style="177" customWidth="1"/>
    <col min="15370" max="15371" width="9.75" style="177" customWidth="1"/>
    <col min="15372" max="15377" width="8.625" style="177" customWidth="1"/>
    <col min="15378" max="15378" width="9.75" style="177" customWidth="1"/>
    <col min="15379" max="15379" width="10.5" style="177" bestFit="1" customWidth="1"/>
    <col min="15380" max="15380" width="9" style="177"/>
    <col min="15381" max="15381" width="10.5" style="177" bestFit="1" customWidth="1"/>
    <col min="15382" max="15617" width="9" style="177"/>
    <col min="15618" max="15618" width="14.125" style="177" customWidth="1"/>
    <col min="15619" max="15619" width="9.75" style="177" customWidth="1"/>
    <col min="15620" max="15620" width="7.875" style="177" customWidth="1"/>
    <col min="15621" max="15621" width="9.75" style="177" customWidth="1"/>
    <col min="15622" max="15622" width="7.875" style="177" customWidth="1"/>
    <col min="15623" max="15623" width="9.75" style="177" customWidth="1"/>
    <col min="15624" max="15624" width="8.625" style="177" customWidth="1"/>
    <col min="15625" max="15625" width="7.625" style="177" customWidth="1"/>
    <col min="15626" max="15627" width="9.75" style="177" customWidth="1"/>
    <col min="15628" max="15633" width="8.625" style="177" customWidth="1"/>
    <col min="15634" max="15634" width="9.75" style="177" customWidth="1"/>
    <col min="15635" max="15635" width="10.5" style="177" bestFit="1" customWidth="1"/>
    <col min="15636" max="15636" width="9" style="177"/>
    <col min="15637" max="15637" width="10.5" style="177" bestFit="1" customWidth="1"/>
    <col min="15638" max="15873" width="9" style="177"/>
    <col min="15874" max="15874" width="14.125" style="177" customWidth="1"/>
    <col min="15875" max="15875" width="9.75" style="177" customWidth="1"/>
    <col min="15876" max="15876" width="7.875" style="177" customWidth="1"/>
    <col min="15877" max="15877" width="9.75" style="177" customWidth="1"/>
    <col min="15878" max="15878" width="7.875" style="177" customWidth="1"/>
    <col min="15879" max="15879" width="9.75" style="177" customWidth="1"/>
    <col min="15880" max="15880" width="8.625" style="177" customWidth="1"/>
    <col min="15881" max="15881" width="7.625" style="177" customWidth="1"/>
    <col min="15882" max="15883" width="9.75" style="177" customWidth="1"/>
    <col min="15884" max="15889" width="8.625" style="177" customWidth="1"/>
    <col min="15890" max="15890" width="9.75" style="177" customWidth="1"/>
    <col min="15891" max="15891" width="10.5" style="177" bestFit="1" customWidth="1"/>
    <col min="15892" max="15892" width="9" style="177"/>
    <col min="15893" max="15893" width="10.5" style="177" bestFit="1" customWidth="1"/>
    <col min="15894" max="16129" width="9" style="177"/>
    <col min="16130" max="16130" width="14.125" style="177" customWidth="1"/>
    <col min="16131" max="16131" width="9.75" style="177" customWidth="1"/>
    <col min="16132" max="16132" width="7.875" style="177" customWidth="1"/>
    <col min="16133" max="16133" width="9.75" style="177" customWidth="1"/>
    <col min="16134" max="16134" width="7.875" style="177" customWidth="1"/>
    <col min="16135" max="16135" width="9.75" style="177" customWidth="1"/>
    <col min="16136" max="16136" width="8.625" style="177" customWidth="1"/>
    <col min="16137" max="16137" width="7.625" style="177" customWidth="1"/>
    <col min="16138" max="16139" width="9.75" style="177" customWidth="1"/>
    <col min="16140" max="16145" width="8.625" style="177" customWidth="1"/>
    <col min="16146" max="16146" width="9.75" style="177" customWidth="1"/>
    <col min="16147" max="16147" width="10.5" style="177" bestFit="1" customWidth="1"/>
    <col min="16148" max="16148" width="9" style="177"/>
    <col min="16149" max="16149" width="10.5" style="177" bestFit="1" customWidth="1"/>
    <col min="16150" max="16384" width="9" style="177"/>
  </cols>
  <sheetData>
    <row r="1" spans="1:19" s="160" customFormat="1" ht="23.25" customHeight="1">
      <c r="A1" s="440" t="s">
        <v>119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</row>
    <row r="2" spans="1:19" s="160" customFormat="1" ht="23.25" customHeight="1">
      <c r="A2" s="440" t="s">
        <v>120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</row>
    <row r="3" spans="1:19" s="160" customFormat="1" ht="23.25" customHeight="1" thickBot="1">
      <c r="A3" s="441" t="s">
        <v>287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</row>
    <row r="4" spans="1:19" s="165" customFormat="1" ht="21.75" customHeight="1">
      <c r="A4" s="161" t="s">
        <v>121</v>
      </c>
      <c r="B4" s="434" t="s">
        <v>122</v>
      </c>
      <c r="C4" s="435"/>
      <c r="D4" s="436"/>
      <c r="E4" s="228" t="s">
        <v>123</v>
      </c>
      <c r="F4" s="434" t="s">
        <v>124</v>
      </c>
      <c r="G4" s="436"/>
      <c r="H4" s="162" t="s">
        <v>125</v>
      </c>
      <c r="I4" s="434" t="s">
        <v>126</v>
      </c>
      <c r="J4" s="436"/>
      <c r="K4" s="437" t="s">
        <v>127</v>
      </c>
      <c r="L4" s="438"/>
      <c r="M4" s="434" t="s">
        <v>128</v>
      </c>
      <c r="N4" s="435"/>
      <c r="O4" s="436"/>
      <c r="P4" s="163" t="s">
        <v>129</v>
      </c>
      <c r="Q4" s="163" t="s">
        <v>130</v>
      </c>
      <c r="R4" s="162" t="s">
        <v>131</v>
      </c>
      <c r="S4" s="164" t="s">
        <v>109</v>
      </c>
    </row>
    <row r="5" spans="1:19" s="165" customFormat="1" ht="22.5" thickBot="1">
      <c r="A5" s="166" t="s">
        <v>132</v>
      </c>
      <c r="B5" s="167" t="s">
        <v>133</v>
      </c>
      <c r="C5" s="168" t="s">
        <v>134</v>
      </c>
      <c r="D5" s="168" t="s">
        <v>135</v>
      </c>
      <c r="E5" s="169" t="s">
        <v>136</v>
      </c>
      <c r="F5" s="167" t="s">
        <v>167</v>
      </c>
      <c r="G5" s="167" t="s">
        <v>137</v>
      </c>
      <c r="H5" s="167" t="s">
        <v>138</v>
      </c>
      <c r="I5" s="169" t="s">
        <v>139</v>
      </c>
      <c r="J5" s="169" t="s">
        <v>140</v>
      </c>
      <c r="K5" s="167" t="s">
        <v>141</v>
      </c>
      <c r="L5" s="170" t="s">
        <v>168</v>
      </c>
      <c r="M5" s="168" t="s">
        <v>142</v>
      </c>
      <c r="N5" s="168" t="s">
        <v>143</v>
      </c>
      <c r="O5" s="227" t="s">
        <v>144</v>
      </c>
      <c r="P5" s="170" t="s">
        <v>145</v>
      </c>
      <c r="Q5" s="170" t="s">
        <v>146</v>
      </c>
      <c r="R5" s="169" t="s">
        <v>147</v>
      </c>
      <c r="S5" s="171"/>
    </row>
    <row r="6" spans="1:19" ht="21" customHeight="1">
      <c r="A6" s="172" t="s">
        <v>148</v>
      </c>
      <c r="B6" s="173"/>
      <c r="C6" s="174"/>
      <c r="D6" s="174"/>
      <c r="E6" s="173"/>
      <c r="F6" s="174"/>
      <c r="G6" s="174"/>
      <c r="H6" s="174"/>
      <c r="I6" s="173"/>
      <c r="J6" s="173"/>
      <c r="K6" s="174"/>
      <c r="L6" s="175"/>
      <c r="M6" s="173"/>
      <c r="N6" s="173"/>
      <c r="O6" s="176"/>
      <c r="P6" s="175"/>
      <c r="Q6" s="175"/>
      <c r="R6" s="173"/>
      <c r="S6" s="175"/>
    </row>
    <row r="7" spans="1:19" ht="21" customHeight="1">
      <c r="A7" s="178" t="s">
        <v>278</v>
      </c>
      <c r="B7" s="179">
        <v>0</v>
      </c>
      <c r="C7" s="180">
        <v>0</v>
      </c>
      <c r="D7" s="180">
        <v>0</v>
      </c>
      <c r="E7" s="179">
        <v>0</v>
      </c>
      <c r="F7" s="179">
        <v>0</v>
      </c>
      <c r="G7" s="179">
        <v>0</v>
      </c>
      <c r="H7" s="179">
        <v>0</v>
      </c>
      <c r="I7" s="179">
        <v>0</v>
      </c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  <c r="P7" s="179">
        <v>0</v>
      </c>
      <c r="Q7" s="179">
        <v>0</v>
      </c>
      <c r="R7" s="181">
        <v>0</v>
      </c>
      <c r="S7" s="179">
        <f t="shared" ref="S7:S8" si="0">SUM(B7:R7)</f>
        <v>0</v>
      </c>
    </row>
    <row r="8" spans="1:19" ht="21" customHeight="1">
      <c r="A8" s="178" t="s">
        <v>279</v>
      </c>
      <c r="B8" s="179">
        <v>0</v>
      </c>
      <c r="C8" s="180">
        <v>0</v>
      </c>
      <c r="D8" s="180">
        <v>0</v>
      </c>
      <c r="E8" s="179">
        <v>0</v>
      </c>
      <c r="F8" s="179">
        <v>0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79">
        <v>0</v>
      </c>
      <c r="P8" s="179">
        <v>0</v>
      </c>
      <c r="Q8" s="179">
        <v>0</v>
      </c>
      <c r="R8" s="181">
        <v>4777.3999999999996</v>
      </c>
      <c r="S8" s="179">
        <f t="shared" si="0"/>
        <v>4777.3999999999996</v>
      </c>
    </row>
    <row r="9" spans="1:19" ht="21" customHeight="1">
      <c r="A9" s="178" t="s">
        <v>149</v>
      </c>
      <c r="B9" s="179">
        <v>0</v>
      </c>
      <c r="C9" s="180">
        <v>0</v>
      </c>
      <c r="D9" s="180">
        <v>0</v>
      </c>
      <c r="E9" s="179">
        <v>0</v>
      </c>
      <c r="F9" s="179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79">
        <v>0</v>
      </c>
      <c r="R9" s="181">
        <v>10085</v>
      </c>
      <c r="S9" s="179">
        <f t="shared" ref="S9:S17" si="1">SUM(B9:R9)</f>
        <v>10085</v>
      </c>
    </row>
    <row r="10" spans="1:19" ht="21" customHeight="1">
      <c r="A10" s="178" t="s">
        <v>150</v>
      </c>
      <c r="B10" s="179">
        <v>0</v>
      </c>
      <c r="C10" s="180">
        <v>0</v>
      </c>
      <c r="D10" s="180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81">
        <v>1367600</v>
      </c>
      <c r="S10" s="179">
        <f t="shared" si="1"/>
        <v>1367600</v>
      </c>
    </row>
    <row r="11" spans="1:19" ht="21" customHeight="1">
      <c r="A11" s="178" t="s">
        <v>151</v>
      </c>
      <c r="B11" s="179">
        <v>0</v>
      </c>
      <c r="C11" s="180">
        <v>0</v>
      </c>
      <c r="D11" s="180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  <c r="R11" s="181">
        <v>285600</v>
      </c>
      <c r="S11" s="179">
        <f t="shared" si="1"/>
        <v>285600</v>
      </c>
    </row>
    <row r="12" spans="1:19" ht="21" customHeight="1">
      <c r="A12" s="178" t="s">
        <v>152</v>
      </c>
      <c r="B12" s="179">
        <v>0</v>
      </c>
      <c r="C12" s="180">
        <v>0</v>
      </c>
      <c r="D12" s="180">
        <v>0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79">
        <v>0</v>
      </c>
      <c r="R12" s="181">
        <v>8000</v>
      </c>
      <c r="S12" s="179">
        <f t="shared" si="1"/>
        <v>8000</v>
      </c>
    </row>
    <row r="13" spans="1:19" ht="21" customHeight="1">
      <c r="A13" s="178" t="s">
        <v>153</v>
      </c>
      <c r="B13" s="179">
        <v>0</v>
      </c>
      <c r="C13" s="180">
        <v>0</v>
      </c>
      <c r="D13" s="180">
        <v>0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79">
        <v>0</v>
      </c>
      <c r="R13" s="181">
        <v>0</v>
      </c>
      <c r="S13" s="179">
        <f t="shared" si="1"/>
        <v>0</v>
      </c>
    </row>
    <row r="14" spans="1:19" ht="21" customHeight="1">
      <c r="A14" s="178" t="s">
        <v>154</v>
      </c>
      <c r="B14" s="179">
        <v>0</v>
      </c>
      <c r="C14" s="180">
        <v>0</v>
      </c>
      <c r="D14" s="180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79">
        <v>0</v>
      </c>
      <c r="R14" s="181">
        <v>25378.81</v>
      </c>
      <c r="S14" s="179">
        <f t="shared" si="1"/>
        <v>25378.81</v>
      </c>
    </row>
    <row r="15" spans="1:19" ht="21" customHeight="1">
      <c r="A15" s="178" t="s">
        <v>155</v>
      </c>
      <c r="B15" s="179">
        <v>0</v>
      </c>
      <c r="C15" s="180">
        <v>0</v>
      </c>
      <c r="D15" s="180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79">
        <v>0</v>
      </c>
      <c r="R15" s="181">
        <v>317128</v>
      </c>
      <c r="S15" s="179">
        <f t="shared" si="1"/>
        <v>317128</v>
      </c>
    </row>
    <row r="16" spans="1:19" s="160" customFormat="1" ht="21">
      <c r="A16" s="182" t="s">
        <v>156</v>
      </c>
      <c r="B16" s="183">
        <f>SUM(B7:B15)</f>
        <v>0</v>
      </c>
      <c r="C16" s="183">
        <f>SUM(C7:C15)</f>
        <v>0</v>
      </c>
      <c r="D16" s="183">
        <f t="shared" ref="C16:R16" si="2">SUM(D7:D15)</f>
        <v>0</v>
      </c>
      <c r="E16" s="183">
        <f t="shared" si="2"/>
        <v>0</v>
      </c>
      <c r="F16" s="183">
        <f t="shared" si="2"/>
        <v>0</v>
      </c>
      <c r="G16" s="183">
        <f t="shared" si="2"/>
        <v>0</v>
      </c>
      <c r="H16" s="183">
        <f t="shared" si="2"/>
        <v>0</v>
      </c>
      <c r="I16" s="183">
        <f t="shared" si="2"/>
        <v>0</v>
      </c>
      <c r="J16" s="183">
        <f t="shared" si="2"/>
        <v>0</v>
      </c>
      <c r="K16" s="183">
        <f t="shared" si="2"/>
        <v>0</v>
      </c>
      <c r="L16" s="183">
        <f t="shared" si="2"/>
        <v>0</v>
      </c>
      <c r="M16" s="183">
        <f t="shared" si="2"/>
        <v>0</v>
      </c>
      <c r="N16" s="183">
        <f t="shared" si="2"/>
        <v>0</v>
      </c>
      <c r="O16" s="183">
        <f t="shared" si="2"/>
        <v>0</v>
      </c>
      <c r="P16" s="183">
        <f t="shared" si="2"/>
        <v>0</v>
      </c>
      <c r="Q16" s="183">
        <f t="shared" si="2"/>
        <v>0</v>
      </c>
      <c r="R16" s="183">
        <f t="shared" si="2"/>
        <v>2018569.21</v>
      </c>
      <c r="S16" s="184">
        <f t="shared" si="1"/>
        <v>2018569.21</v>
      </c>
    </row>
    <row r="17" spans="1:19" s="185" customFormat="1" ht="21">
      <c r="A17" s="182" t="s">
        <v>157</v>
      </c>
      <c r="B17" s="183">
        <v>0</v>
      </c>
      <c r="C17" s="183">
        <v>0</v>
      </c>
      <c r="D17" s="183">
        <f>0</f>
        <v>0</v>
      </c>
      <c r="E17" s="183">
        <f>0</f>
        <v>0</v>
      </c>
      <c r="F17" s="183">
        <f>0</f>
        <v>0</v>
      </c>
      <c r="G17" s="183">
        <f>0</f>
        <v>0</v>
      </c>
      <c r="H17" s="183">
        <f>0</f>
        <v>0</v>
      </c>
      <c r="I17" s="183">
        <f>0</f>
        <v>0</v>
      </c>
      <c r="J17" s="183">
        <f>0</f>
        <v>0</v>
      </c>
      <c r="K17" s="183">
        <f>0</f>
        <v>0</v>
      </c>
      <c r="L17" s="183">
        <f>0</f>
        <v>0</v>
      </c>
      <c r="M17" s="183">
        <f>0</f>
        <v>0</v>
      </c>
      <c r="N17" s="183">
        <f>0</f>
        <v>0</v>
      </c>
      <c r="O17" s="183">
        <f>0</f>
        <v>0</v>
      </c>
      <c r="P17" s="183">
        <f>0</f>
        <v>0</v>
      </c>
      <c r="Q17" s="183">
        <f>0</f>
        <v>0</v>
      </c>
      <c r="R17" s="183">
        <f>5095.89+2018569.21</f>
        <v>2023665.0999999999</v>
      </c>
      <c r="S17" s="184">
        <f t="shared" si="1"/>
        <v>2023665.0999999999</v>
      </c>
    </row>
    <row r="18" spans="1:19" ht="21" customHeight="1">
      <c r="A18" s="186">
        <v>521000</v>
      </c>
      <c r="B18" s="184"/>
      <c r="C18" s="187"/>
      <c r="D18" s="187"/>
      <c r="E18" s="184"/>
      <c r="F18" s="187"/>
      <c r="G18" s="187"/>
      <c r="H18" s="187"/>
      <c r="I18" s="184"/>
      <c r="J18" s="184"/>
      <c r="K18" s="187"/>
      <c r="L18" s="179"/>
      <c r="M18" s="184"/>
      <c r="N18" s="184"/>
      <c r="O18" s="184"/>
      <c r="P18" s="179"/>
      <c r="Q18" s="179"/>
      <c r="R18" s="183"/>
      <c r="S18" s="179"/>
    </row>
    <row r="19" spans="1:19" ht="21" customHeight="1">
      <c r="A19" s="188">
        <v>210100</v>
      </c>
      <c r="B19" s="181">
        <v>57960</v>
      </c>
      <c r="C19" s="181">
        <v>0</v>
      </c>
      <c r="D19" s="181"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79">
        <f t="shared" ref="S19:S25" si="3">SUM(B19:R19)</f>
        <v>57960</v>
      </c>
    </row>
    <row r="20" spans="1:19" ht="21" customHeight="1">
      <c r="A20" s="188">
        <v>210200</v>
      </c>
      <c r="B20" s="181">
        <v>10000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79">
        <f ca="1">'คงเหลือรายรับ (1)'!S16+'คงเหลือรายรับ (1)'!S23+'คงเหลือรายรับ (1)'!S31+'คงเหลือรายรับ (1)'!S37+'คงเหลือรายรับ (2)'!S9+'คงเหลือรายรับ (2)'!S23+'คงเหลือรายรับ (2)'!S29+'คงเหลือรายรับ (3)'!S8+'คงเหลือรายรับ (3)'!S12+'คงเหลือรายรับ (3)'!S15+'คงเหลือรายรับ (3)'!S19</f>
        <v>0</v>
      </c>
    </row>
    <row r="21" spans="1:19" ht="21" customHeight="1">
      <c r="A21" s="188">
        <v>210300</v>
      </c>
      <c r="B21" s="181">
        <v>10000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79">
        <f t="shared" si="3"/>
        <v>10000</v>
      </c>
    </row>
    <row r="22" spans="1:19" ht="21" customHeight="1">
      <c r="A22" s="188">
        <v>210400</v>
      </c>
      <c r="B22" s="181">
        <v>16560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79">
        <f t="shared" si="3"/>
        <v>16560</v>
      </c>
    </row>
    <row r="23" spans="1:19" ht="21" customHeight="1">
      <c r="A23" s="188">
        <v>210600</v>
      </c>
      <c r="B23" s="181">
        <v>124200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79">
        <f t="shared" si="3"/>
        <v>124200</v>
      </c>
    </row>
    <row r="24" spans="1:19" s="160" customFormat="1" ht="21">
      <c r="A24" s="182" t="s">
        <v>156</v>
      </c>
      <c r="B24" s="183">
        <f t="shared" ref="B24:R24" si="4">SUM(B19:B23)</f>
        <v>218720</v>
      </c>
      <c r="C24" s="183">
        <f t="shared" si="4"/>
        <v>0</v>
      </c>
      <c r="D24" s="183">
        <f t="shared" si="4"/>
        <v>0</v>
      </c>
      <c r="E24" s="183">
        <f t="shared" si="4"/>
        <v>0</v>
      </c>
      <c r="F24" s="183">
        <f t="shared" si="4"/>
        <v>0</v>
      </c>
      <c r="G24" s="183">
        <f t="shared" si="4"/>
        <v>0</v>
      </c>
      <c r="H24" s="183">
        <f t="shared" si="4"/>
        <v>0</v>
      </c>
      <c r="I24" s="183">
        <f t="shared" si="4"/>
        <v>0</v>
      </c>
      <c r="J24" s="183">
        <f t="shared" si="4"/>
        <v>0</v>
      </c>
      <c r="K24" s="183">
        <f t="shared" si="4"/>
        <v>0</v>
      </c>
      <c r="L24" s="183">
        <f t="shared" si="4"/>
        <v>0</v>
      </c>
      <c r="M24" s="183">
        <f t="shared" si="4"/>
        <v>0</v>
      </c>
      <c r="N24" s="183">
        <f t="shared" si="4"/>
        <v>0</v>
      </c>
      <c r="O24" s="183">
        <f t="shared" si="4"/>
        <v>0</v>
      </c>
      <c r="P24" s="183">
        <f t="shared" si="4"/>
        <v>0</v>
      </c>
      <c r="Q24" s="183">
        <f t="shared" si="4"/>
        <v>0</v>
      </c>
      <c r="R24" s="183">
        <f t="shared" si="4"/>
        <v>0</v>
      </c>
      <c r="S24" s="184">
        <f t="shared" si="3"/>
        <v>218720</v>
      </c>
    </row>
    <row r="25" spans="1:19" s="185" customFormat="1" ht="21">
      <c r="A25" s="182" t="s">
        <v>157</v>
      </c>
      <c r="B25" s="183">
        <f>218720+218720</f>
        <v>437440</v>
      </c>
      <c r="C25" s="183">
        <v>0</v>
      </c>
      <c r="D25" s="183">
        <v>0</v>
      </c>
      <c r="E25" s="183">
        <f>0</f>
        <v>0</v>
      </c>
      <c r="F25" s="183">
        <f>0</f>
        <v>0</v>
      </c>
      <c r="G25" s="183">
        <f>0</f>
        <v>0</v>
      </c>
      <c r="H25" s="183">
        <f>0</f>
        <v>0</v>
      </c>
      <c r="I25" s="183">
        <v>0</v>
      </c>
      <c r="J25" s="183">
        <f>0</f>
        <v>0</v>
      </c>
      <c r="K25" s="183">
        <f>0</f>
        <v>0</v>
      </c>
      <c r="L25" s="183">
        <f>0</f>
        <v>0</v>
      </c>
      <c r="M25" s="183">
        <f>0</f>
        <v>0</v>
      </c>
      <c r="N25" s="183">
        <f>0</f>
        <v>0</v>
      </c>
      <c r="O25" s="183">
        <f>0</f>
        <v>0</v>
      </c>
      <c r="P25" s="183">
        <f>0</f>
        <v>0</v>
      </c>
      <c r="Q25" s="183">
        <f>0</f>
        <v>0</v>
      </c>
      <c r="R25" s="183">
        <f>0</f>
        <v>0</v>
      </c>
      <c r="S25" s="184">
        <f t="shared" si="3"/>
        <v>437440</v>
      </c>
    </row>
    <row r="26" spans="1:19" ht="21" customHeight="1">
      <c r="A26" s="186">
        <v>522000</v>
      </c>
      <c r="B26" s="184"/>
      <c r="C26" s="187"/>
      <c r="D26" s="187"/>
      <c r="E26" s="184"/>
      <c r="F26" s="187"/>
      <c r="G26" s="187"/>
      <c r="H26" s="187"/>
      <c r="I26" s="184"/>
      <c r="J26" s="184"/>
      <c r="K26" s="187"/>
      <c r="L26" s="179"/>
      <c r="M26" s="184"/>
      <c r="N26" s="184"/>
      <c r="O26" s="184"/>
      <c r="P26" s="179"/>
      <c r="Q26" s="179"/>
      <c r="R26" s="183"/>
      <c r="S26" s="179"/>
    </row>
    <row r="27" spans="1:19" ht="21" customHeight="1">
      <c r="A27" s="188">
        <v>220100</v>
      </c>
      <c r="B27" s="181">
        <v>184360</v>
      </c>
      <c r="C27" s="181">
        <v>0</v>
      </c>
      <c r="D27" s="181">
        <v>96860</v>
      </c>
      <c r="E27" s="181">
        <v>0</v>
      </c>
      <c r="F27" s="181">
        <v>96800</v>
      </c>
      <c r="G27" s="181">
        <v>0</v>
      </c>
      <c r="H27" s="181">
        <v>0</v>
      </c>
      <c r="I27" s="181">
        <v>65600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79">
        <f t="shared" ref="S27:S34" si="5">SUM(B27:R27)</f>
        <v>443620</v>
      </c>
    </row>
    <row r="28" spans="1:19" ht="21" customHeight="1">
      <c r="A28" s="188">
        <v>220200</v>
      </c>
      <c r="B28" s="181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79">
        <f t="shared" si="5"/>
        <v>0</v>
      </c>
    </row>
    <row r="29" spans="1:19" ht="21" customHeight="1">
      <c r="A29" s="188">
        <v>220300</v>
      </c>
      <c r="B29" s="181">
        <v>14000</v>
      </c>
      <c r="C29" s="181">
        <v>0</v>
      </c>
      <c r="D29" s="181">
        <v>3500</v>
      </c>
      <c r="E29" s="181">
        <v>0</v>
      </c>
      <c r="F29" s="181">
        <v>0</v>
      </c>
      <c r="G29" s="181">
        <v>0</v>
      </c>
      <c r="H29" s="181">
        <v>0</v>
      </c>
      <c r="I29" s="181">
        <v>3500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79">
        <f t="shared" si="5"/>
        <v>21000</v>
      </c>
    </row>
    <row r="30" spans="1:19" ht="21" customHeight="1">
      <c r="A30" s="188">
        <v>220700</v>
      </c>
      <c r="B30" s="181">
        <v>102420</v>
      </c>
      <c r="C30" s="181">
        <v>0</v>
      </c>
      <c r="D30" s="181">
        <v>33800</v>
      </c>
      <c r="E30" s="181">
        <v>0</v>
      </c>
      <c r="F30" s="181">
        <v>71130</v>
      </c>
      <c r="G30" s="181">
        <v>0</v>
      </c>
      <c r="H30" s="181">
        <v>0</v>
      </c>
      <c r="I30" s="181">
        <v>67620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79">
        <f t="shared" si="5"/>
        <v>274970</v>
      </c>
    </row>
    <row r="31" spans="1:19" ht="21" customHeight="1">
      <c r="A31" s="188">
        <v>220800</v>
      </c>
      <c r="B31" s="181">
        <v>7700</v>
      </c>
      <c r="C31" s="181">
        <v>0</v>
      </c>
      <c r="D31" s="181">
        <v>0</v>
      </c>
      <c r="E31" s="181">
        <v>0</v>
      </c>
      <c r="F31" s="181">
        <v>6165</v>
      </c>
      <c r="G31" s="181">
        <v>0</v>
      </c>
      <c r="H31" s="181">
        <v>0</v>
      </c>
      <c r="I31" s="181">
        <v>6105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79">
        <f>SUM(B31:R31)</f>
        <v>19970</v>
      </c>
    </row>
    <row r="32" spans="1:19" ht="21" customHeight="1">
      <c r="A32" s="188">
        <v>221200</v>
      </c>
      <c r="B32" s="181">
        <v>7000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79">
        <f>SUM(B32:R32)</f>
        <v>7000</v>
      </c>
    </row>
    <row r="33" spans="1:19">
      <c r="A33" s="182" t="s">
        <v>156</v>
      </c>
      <c r="B33" s="183">
        <f t="shared" ref="B33:R33" si="6">SUM(B27:B32)</f>
        <v>315480</v>
      </c>
      <c r="C33" s="183">
        <f t="shared" si="6"/>
        <v>0</v>
      </c>
      <c r="D33" s="183">
        <f t="shared" si="6"/>
        <v>134160</v>
      </c>
      <c r="E33" s="183">
        <f t="shared" si="6"/>
        <v>0</v>
      </c>
      <c r="F33" s="183">
        <f t="shared" si="6"/>
        <v>174095</v>
      </c>
      <c r="G33" s="183">
        <f t="shared" si="6"/>
        <v>0</v>
      </c>
      <c r="H33" s="183">
        <f t="shared" si="6"/>
        <v>0</v>
      </c>
      <c r="I33" s="183">
        <f t="shared" si="6"/>
        <v>142825</v>
      </c>
      <c r="J33" s="183">
        <f t="shared" si="6"/>
        <v>0</v>
      </c>
      <c r="K33" s="183">
        <f t="shared" si="6"/>
        <v>0</v>
      </c>
      <c r="L33" s="183">
        <f t="shared" si="6"/>
        <v>0</v>
      </c>
      <c r="M33" s="183">
        <f t="shared" si="6"/>
        <v>0</v>
      </c>
      <c r="N33" s="183">
        <f t="shared" si="6"/>
        <v>0</v>
      </c>
      <c r="O33" s="183">
        <f t="shared" si="6"/>
        <v>0</v>
      </c>
      <c r="P33" s="183">
        <f t="shared" si="6"/>
        <v>0</v>
      </c>
      <c r="Q33" s="183">
        <f t="shared" si="6"/>
        <v>0</v>
      </c>
      <c r="R33" s="183">
        <f t="shared" si="6"/>
        <v>0</v>
      </c>
      <c r="S33" s="184">
        <f t="shared" si="5"/>
        <v>766560</v>
      </c>
    </row>
    <row r="34" spans="1:19" s="189" customFormat="1">
      <c r="A34" s="182" t="s">
        <v>157</v>
      </c>
      <c r="B34" s="183">
        <f>262340+315480</f>
        <v>577820</v>
      </c>
      <c r="C34" s="183">
        <v>0</v>
      </c>
      <c r="D34" s="183">
        <f>134160+134160</f>
        <v>268320</v>
      </c>
      <c r="E34" s="183">
        <f>0</f>
        <v>0</v>
      </c>
      <c r="F34" s="183">
        <f>148055+174095</f>
        <v>322150</v>
      </c>
      <c r="G34" s="183">
        <v>0</v>
      </c>
      <c r="H34" s="183">
        <f>0</f>
        <v>0</v>
      </c>
      <c r="I34" s="183">
        <f>142825+142825</f>
        <v>285650</v>
      </c>
      <c r="J34" s="183">
        <f>0</f>
        <v>0</v>
      </c>
      <c r="K34" s="183">
        <f>0</f>
        <v>0</v>
      </c>
      <c r="L34" s="183">
        <f>0</f>
        <v>0</v>
      </c>
      <c r="M34" s="183">
        <f>0</f>
        <v>0</v>
      </c>
      <c r="N34" s="183">
        <f>0</f>
        <v>0</v>
      </c>
      <c r="O34" s="183">
        <f>0</f>
        <v>0</v>
      </c>
      <c r="P34" s="183">
        <f>0</f>
        <v>0</v>
      </c>
      <c r="Q34" s="183">
        <f>0</f>
        <v>0</v>
      </c>
      <c r="R34" s="183">
        <f>0</f>
        <v>0</v>
      </c>
      <c r="S34" s="184">
        <f t="shared" si="5"/>
        <v>1453940</v>
      </c>
    </row>
    <row r="35" spans="1:19" s="189" customFormat="1">
      <c r="A35" s="346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8"/>
    </row>
    <row r="36" spans="1:19" s="189" customFormat="1">
      <c r="A36" s="190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309"/>
    </row>
    <row r="37" spans="1:19" s="189" customForma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309"/>
    </row>
    <row r="38" spans="1:19" s="189" customFormat="1">
      <c r="A38" s="190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309"/>
    </row>
    <row r="39" spans="1:19" s="189" customFormat="1" ht="17.25" customHeight="1">
      <c r="A39" s="190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309"/>
    </row>
    <row r="40" spans="1:19" ht="21" customHeight="1" thickBot="1">
      <c r="A40" s="439" t="s">
        <v>162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165" customFormat="1" ht="21.75" customHeight="1">
      <c r="A41" s="161" t="s">
        <v>121</v>
      </c>
      <c r="B41" s="434" t="s">
        <v>122</v>
      </c>
      <c r="C41" s="435"/>
      <c r="D41" s="436"/>
      <c r="E41" s="344" t="s">
        <v>123</v>
      </c>
      <c r="F41" s="434" t="s">
        <v>124</v>
      </c>
      <c r="G41" s="436"/>
      <c r="H41" s="162" t="s">
        <v>125</v>
      </c>
      <c r="I41" s="434" t="s">
        <v>126</v>
      </c>
      <c r="J41" s="436"/>
      <c r="K41" s="437" t="s">
        <v>127</v>
      </c>
      <c r="L41" s="438"/>
      <c r="M41" s="434" t="s">
        <v>128</v>
      </c>
      <c r="N41" s="435"/>
      <c r="O41" s="436"/>
      <c r="P41" s="163" t="s">
        <v>129</v>
      </c>
      <c r="Q41" s="163" t="s">
        <v>130</v>
      </c>
      <c r="R41" s="162" t="s">
        <v>131</v>
      </c>
      <c r="S41" s="164" t="s">
        <v>109</v>
      </c>
    </row>
    <row r="42" spans="1:19" s="165" customFormat="1" ht="22.5" thickBot="1">
      <c r="A42" s="166" t="s">
        <v>132</v>
      </c>
      <c r="B42" s="167" t="s">
        <v>133</v>
      </c>
      <c r="C42" s="168" t="s">
        <v>134</v>
      </c>
      <c r="D42" s="168" t="s">
        <v>135</v>
      </c>
      <c r="E42" s="169" t="s">
        <v>136</v>
      </c>
      <c r="F42" s="167" t="s">
        <v>167</v>
      </c>
      <c r="G42" s="167" t="s">
        <v>137</v>
      </c>
      <c r="H42" s="167" t="s">
        <v>138</v>
      </c>
      <c r="I42" s="169" t="s">
        <v>139</v>
      </c>
      <c r="J42" s="169" t="s">
        <v>140</v>
      </c>
      <c r="K42" s="167" t="s">
        <v>141</v>
      </c>
      <c r="L42" s="170" t="s">
        <v>168</v>
      </c>
      <c r="M42" s="168" t="s">
        <v>142</v>
      </c>
      <c r="N42" s="168" t="s">
        <v>143</v>
      </c>
      <c r="O42" s="345" t="s">
        <v>144</v>
      </c>
      <c r="P42" s="170" t="s">
        <v>145</v>
      </c>
      <c r="Q42" s="170" t="s">
        <v>146</v>
      </c>
      <c r="R42" s="169" t="s">
        <v>147</v>
      </c>
      <c r="S42" s="171"/>
    </row>
    <row r="43" spans="1:19" ht="21" customHeight="1">
      <c r="A43" s="193">
        <v>531000</v>
      </c>
      <c r="B43" s="194"/>
      <c r="C43" s="195"/>
      <c r="D43" s="195"/>
      <c r="E43" s="173"/>
      <c r="F43" s="174"/>
      <c r="G43" s="174"/>
      <c r="H43" s="174"/>
      <c r="I43" s="173"/>
      <c r="J43" s="194"/>
      <c r="K43" s="174"/>
      <c r="L43" s="179"/>
      <c r="M43" s="173"/>
      <c r="N43" s="173"/>
      <c r="O43" s="173"/>
      <c r="P43" s="179"/>
      <c r="Q43" s="179"/>
      <c r="R43" s="194"/>
      <c r="S43" s="179"/>
    </row>
    <row r="44" spans="1:19" ht="21" customHeight="1">
      <c r="A44" s="280">
        <v>310100</v>
      </c>
      <c r="B44" s="181">
        <v>0</v>
      </c>
      <c r="C44" s="181">
        <v>0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79">
        <f t="shared" ref="S44" si="7">SUM(B44:R44)</f>
        <v>0</v>
      </c>
    </row>
    <row r="45" spans="1:19" ht="21" customHeight="1">
      <c r="A45" s="188">
        <v>310300</v>
      </c>
      <c r="B45" s="181">
        <v>1260</v>
      </c>
      <c r="C45" s="181">
        <v>0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7560</v>
      </c>
      <c r="J45" s="181">
        <v>0</v>
      </c>
      <c r="K45" s="181">
        <v>0</v>
      </c>
      <c r="L45" s="181">
        <v>0</v>
      </c>
      <c r="M45" s="181">
        <v>0</v>
      </c>
      <c r="N45" s="181">
        <v>0</v>
      </c>
      <c r="O45" s="181">
        <v>0</v>
      </c>
      <c r="P45" s="181">
        <v>0</v>
      </c>
      <c r="Q45" s="181">
        <v>0</v>
      </c>
      <c r="R45" s="181">
        <v>0</v>
      </c>
      <c r="S45" s="179">
        <f t="shared" ref="S45:S49" si="8">SUM(B45:R45)</f>
        <v>8820</v>
      </c>
    </row>
    <row r="46" spans="1:19" ht="21" customHeight="1">
      <c r="A46" s="188">
        <v>310400</v>
      </c>
      <c r="B46" s="181">
        <v>10500</v>
      </c>
      <c r="C46" s="181">
        <v>0</v>
      </c>
      <c r="D46" s="181">
        <v>9500</v>
      </c>
      <c r="E46" s="181">
        <v>0</v>
      </c>
      <c r="F46" s="181">
        <v>0</v>
      </c>
      <c r="G46" s="181">
        <v>0</v>
      </c>
      <c r="H46" s="181">
        <v>0</v>
      </c>
      <c r="I46" s="181">
        <v>3000</v>
      </c>
      <c r="J46" s="181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  <c r="P46" s="181">
        <v>0</v>
      </c>
      <c r="Q46" s="181">
        <v>0</v>
      </c>
      <c r="R46" s="181">
        <v>0</v>
      </c>
      <c r="S46" s="179">
        <f t="shared" si="8"/>
        <v>23000</v>
      </c>
    </row>
    <row r="47" spans="1:19" ht="21" customHeight="1">
      <c r="A47" s="188">
        <v>310500</v>
      </c>
      <c r="B47" s="181">
        <v>7950</v>
      </c>
      <c r="C47" s="181">
        <v>0</v>
      </c>
      <c r="D47" s="181"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v>0</v>
      </c>
      <c r="N47" s="181">
        <v>0</v>
      </c>
      <c r="O47" s="181">
        <v>0</v>
      </c>
      <c r="P47" s="181">
        <v>0</v>
      </c>
      <c r="Q47" s="181">
        <v>0</v>
      </c>
      <c r="R47" s="181">
        <v>0</v>
      </c>
      <c r="S47" s="179">
        <f t="shared" si="8"/>
        <v>7950</v>
      </c>
    </row>
    <row r="48" spans="1:19">
      <c r="A48" s="182" t="s">
        <v>156</v>
      </c>
      <c r="B48" s="183">
        <f>SUM(B44:B47)</f>
        <v>19710</v>
      </c>
      <c r="C48" s="183">
        <f t="shared" ref="C48:R48" si="9">SUM(C44:C47)</f>
        <v>0</v>
      </c>
      <c r="D48" s="183">
        <f t="shared" si="9"/>
        <v>9500</v>
      </c>
      <c r="E48" s="183">
        <f t="shared" si="9"/>
        <v>0</v>
      </c>
      <c r="F48" s="183">
        <f t="shared" si="9"/>
        <v>0</v>
      </c>
      <c r="G48" s="183">
        <f t="shared" si="9"/>
        <v>0</v>
      </c>
      <c r="H48" s="183">
        <f t="shared" si="9"/>
        <v>0</v>
      </c>
      <c r="I48" s="183">
        <f t="shared" si="9"/>
        <v>10560</v>
      </c>
      <c r="J48" s="183">
        <f t="shared" si="9"/>
        <v>0</v>
      </c>
      <c r="K48" s="183">
        <f t="shared" si="9"/>
        <v>0</v>
      </c>
      <c r="L48" s="183">
        <f t="shared" si="9"/>
        <v>0</v>
      </c>
      <c r="M48" s="183">
        <f t="shared" si="9"/>
        <v>0</v>
      </c>
      <c r="N48" s="183">
        <f t="shared" si="9"/>
        <v>0</v>
      </c>
      <c r="O48" s="183">
        <f t="shared" si="9"/>
        <v>0</v>
      </c>
      <c r="P48" s="183">
        <f t="shared" si="9"/>
        <v>0</v>
      </c>
      <c r="Q48" s="183">
        <f t="shared" si="9"/>
        <v>0</v>
      </c>
      <c r="R48" s="183">
        <f t="shared" si="9"/>
        <v>0</v>
      </c>
      <c r="S48" s="184">
        <f t="shared" si="8"/>
        <v>39770</v>
      </c>
    </row>
    <row r="49" spans="1:19" s="189" customFormat="1">
      <c r="A49" s="182" t="s">
        <v>157</v>
      </c>
      <c r="B49" s="183">
        <f>12480+19710</f>
        <v>32190</v>
      </c>
      <c r="C49" s="183">
        <v>0</v>
      </c>
      <c r="D49" s="183">
        <f>9500+9500</f>
        <v>19000</v>
      </c>
      <c r="E49" s="183">
        <v>0</v>
      </c>
      <c r="F49" s="183">
        <v>0</v>
      </c>
      <c r="G49" s="183">
        <f>0</f>
        <v>0</v>
      </c>
      <c r="H49" s="183">
        <f>0</f>
        <v>0</v>
      </c>
      <c r="I49" s="183">
        <f>3000+10560</f>
        <v>13560</v>
      </c>
      <c r="J49" s="183">
        <f>0</f>
        <v>0</v>
      </c>
      <c r="K49" s="183">
        <f>0</f>
        <v>0</v>
      </c>
      <c r="L49" s="183">
        <f>0</f>
        <v>0</v>
      </c>
      <c r="M49" s="183">
        <f>0</f>
        <v>0</v>
      </c>
      <c r="N49" s="183">
        <f>0</f>
        <v>0</v>
      </c>
      <c r="O49" s="183">
        <f>0</f>
        <v>0</v>
      </c>
      <c r="P49" s="183">
        <f>0</f>
        <v>0</v>
      </c>
      <c r="Q49" s="183">
        <f>0</f>
        <v>0</v>
      </c>
      <c r="R49" s="183">
        <f>0</f>
        <v>0</v>
      </c>
      <c r="S49" s="184">
        <f t="shared" si="8"/>
        <v>64750</v>
      </c>
    </row>
    <row r="50" spans="1:19" ht="21" customHeight="1">
      <c r="A50" s="186">
        <v>532000</v>
      </c>
      <c r="B50" s="183"/>
      <c r="C50" s="196"/>
      <c r="D50" s="196"/>
      <c r="E50" s="184"/>
      <c r="F50" s="187"/>
      <c r="G50" s="187"/>
      <c r="H50" s="187"/>
      <c r="I50" s="184"/>
      <c r="J50" s="183"/>
      <c r="K50" s="187"/>
      <c r="L50" s="179"/>
      <c r="M50" s="184"/>
      <c r="N50" s="184"/>
      <c r="O50" s="184"/>
      <c r="P50" s="179"/>
      <c r="Q50" s="179"/>
      <c r="R50" s="183"/>
      <c r="S50" s="179"/>
    </row>
    <row r="51" spans="1:19" ht="21" customHeight="1">
      <c r="A51" s="188">
        <v>320100</v>
      </c>
      <c r="B51" s="181">
        <f>3000+33000</f>
        <v>36000</v>
      </c>
      <c r="C51" s="181">
        <v>0</v>
      </c>
      <c r="D51" s="181">
        <v>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0</v>
      </c>
      <c r="O51" s="181">
        <v>0</v>
      </c>
      <c r="P51" s="181">
        <v>0</v>
      </c>
      <c r="Q51" s="181">
        <v>0</v>
      </c>
      <c r="R51" s="181">
        <v>0</v>
      </c>
      <c r="S51" s="179">
        <f t="shared" ref="S51:S56" si="10">SUM(B51:R51)</f>
        <v>36000</v>
      </c>
    </row>
    <row r="52" spans="1:19" ht="21" customHeight="1">
      <c r="A52" s="188">
        <v>320200</v>
      </c>
      <c r="B52" s="181">
        <v>0</v>
      </c>
      <c r="C52" s="181">
        <v>0</v>
      </c>
      <c r="D52" s="181">
        <v>0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181">
        <v>0</v>
      </c>
      <c r="K52" s="181">
        <v>0</v>
      </c>
      <c r="L52" s="181">
        <v>0</v>
      </c>
      <c r="M52" s="181">
        <v>0</v>
      </c>
      <c r="N52" s="181">
        <v>0</v>
      </c>
      <c r="O52" s="181">
        <v>0</v>
      </c>
      <c r="P52" s="181">
        <v>0</v>
      </c>
      <c r="Q52" s="181">
        <v>0</v>
      </c>
      <c r="R52" s="181">
        <v>0</v>
      </c>
      <c r="S52" s="179">
        <f t="shared" si="10"/>
        <v>0</v>
      </c>
    </row>
    <row r="53" spans="1:19" ht="21" customHeight="1">
      <c r="A53" s="188">
        <v>320300</v>
      </c>
      <c r="B53" s="181">
        <f>1000+119620</f>
        <v>120620</v>
      </c>
      <c r="C53" s="181">
        <v>0</v>
      </c>
      <c r="D53" s="197">
        <v>0</v>
      </c>
      <c r="E53" s="181">
        <v>0</v>
      </c>
      <c r="F53" s="181">
        <v>0</v>
      </c>
      <c r="G53" s="181">
        <f>202300+14000+13000+154700</f>
        <v>384000</v>
      </c>
      <c r="H53" s="181">
        <v>0</v>
      </c>
      <c r="I53" s="197">
        <v>20372</v>
      </c>
      <c r="J53" s="181">
        <v>0</v>
      </c>
      <c r="K53" s="181">
        <v>0</v>
      </c>
      <c r="L53" s="181">
        <v>0</v>
      </c>
      <c r="M53" s="181">
        <v>0</v>
      </c>
      <c r="N53" s="181">
        <v>0</v>
      </c>
      <c r="O53" s="181">
        <v>0</v>
      </c>
      <c r="P53" s="181">
        <v>0</v>
      </c>
      <c r="Q53" s="181">
        <v>0</v>
      </c>
      <c r="R53" s="181">
        <v>0</v>
      </c>
      <c r="S53" s="179">
        <f t="shared" si="10"/>
        <v>524992</v>
      </c>
    </row>
    <row r="54" spans="1:19" ht="21" customHeight="1">
      <c r="A54" s="188">
        <v>320400</v>
      </c>
      <c r="B54" s="181">
        <v>8535</v>
      </c>
      <c r="C54" s="181">
        <v>0</v>
      </c>
      <c r="D54" s="181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79">
        <f t="shared" si="10"/>
        <v>8535</v>
      </c>
    </row>
    <row r="55" spans="1:19">
      <c r="A55" s="182" t="s">
        <v>156</v>
      </c>
      <c r="B55" s="183">
        <f t="shared" ref="B55:R55" si="11">SUM(B51:B54)</f>
        <v>165155</v>
      </c>
      <c r="C55" s="183">
        <f t="shared" si="11"/>
        <v>0</v>
      </c>
      <c r="D55" s="198">
        <f t="shared" si="11"/>
        <v>0</v>
      </c>
      <c r="E55" s="183">
        <f t="shared" si="11"/>
        <v>0</v>
      </c>
      <c r="F55" s="183">
        <f t="shared" si="11"/>
        <v>0</v>
      </c>
      <c r="G55" s="183">
        <f t="shared" si="11"/>
        <v>384000</v>
      </c>
      <c r="H55" s="183">
        <f t="shared" si="11"/>
        <v>0</v>
      </c>
      <c r="I55" s="198">
        <f t="shared" si="11"/>
        <v>20372</v>
      </c>
      <c r="J55" s="183">
        <f t="shared" si="11"/>
        <v>0</v>
      </c>
      <c r="K55" s="183">
        <f t="shared" si="11"/>
        <v>0</v>
      </c>
      <c r="L55" s="183">
        <f t="shared" si="11"/>
        <v>0</v>
      </c>
      <c r="M55" s="183">
        <f t="shared" si="11"/>
        <v>0</v>
      </c>
      <c r="N55" s="183">
        <f t="shared" si="11"/>
        <v>0</v>
      </c>
      <c r="O55" s="183">
        <f t="shared" si="11"/>
        <v>0</v>
      </c>
      <c r="P55" s="183">
        <f t="shared" si="11"/>
        <v>0</v>
      </c>
      <c r="Q55" s="183">
        <f t="shared" si="11"/>
        <v>0</v>
      </c>
      <c r="R55" s="183">
        <f t="shared" si="11"/>
        <v>0</v>
      </c>
      <c r="S55" s="184">
        <f>SUM(B55:R55)</f>
        <v>569527</v>
      </c>
    </row>
    <row r="56" spans="1:19" s="189" customFormat="1">
      <c r="A56" s="199" t="s">
        <v>157</v>
      </c>
      <c r="B56" s="183">
        <f>4650+165155</f>
        <v>169805</v>
      </c>
      <c r="C56" s="183">
        <v>0</v>
      </c>
      <c r="D56" s="183">
        <f>3350</f>
        <v>3350</v>
      </c>
      <c r="E56" s="183">
        <v>0</v>
      </c>
      <c r="F56" s="183">
        <v>0</v>
      </c>
      <c r="G56" s="183">
        <v>384000</v>
      </c>
      <c r="H56" s="183">
        <v>0</v>
      </c>
      <c r="I56" s="183">
        <f>1350+20372</f>
        <v>21722</v>
      </c>
      <c r="J56" s="183">
        <v>0</v>
      </c>
      <c r="K56" s="183">
        <v>0</v>
      </c>
      <c r="L56" s="183">
        <v>0</v>
      </c>
      <c r="M56" s="183">
        <v>0</v>
      </c>
      <c r="N56" s="183">
        <v>0</v>
      </c>
      <c r="O56" s="183">
        <v>0</v>
      </c>
      <c r="P56" s="183">
        <v>0</v>
      </c>
      <c r="Q56" s="183">
        <v>0</v>
      </c>
      <c r="R56" s="183">
        <f>0</f>
        <v>0</v>
      </c>
      <c r="S56" s="184">
        <f t="shared" si="10"/>
        <v>578877</v>
      </c>
    </row>
    <row r="57" spans="1:19" ht="21" customHeight="1">
      <c r="A57" s="186">
        <v>533000</v>
      </c>
      <c r="B57" s="195"/>
      <c r="C57" s="195"/>
      <c r="D57" s="173"/>
      <c r="E57" s="183"/>
      <c r="F57" s="179"/>
      <c r="G57" s="179"/>
      <c r="H57" s="202"/>
      <c r="I57" s="173"/>
      <c r="J57" s="183"/>
      <c r="K57" s="202"/>
      <c r="L57" s="179"/>
      <c r="M57" s="183"/>
      <c r="N57" s="183"/>
      <c r="O57" s="183"/>
      <c r="P57" s="179"/>
      <c r="Q57" s="194"/>
      <c r="R57" s="183"/>
      <c r="S57" s="179"/>
    </row>
    <row r="58" spans="1:19" ht="21" customHeight="1">
      <c r="A58" s="203">
        <v>330100</v>
      </c>
      <c r="B58" s="181">
        <v>400</v>
      </c>
      <c r="C58" s="181">
        <v>0</v>
      </c>
      <c r="D58" s="181">
        <v>0</v>
      </c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79">
        <f t="shared" ref="S58:S60" si="12">SUM(B58:R58)</f>
        <v>400</v>
      </c>
    </row>
    <row r="59" spans="1:19" ht="21" customHeight="1">
      <c r="A59" s="203">
        <v>330200</v>
      </c>
      <c r="B59" s="181">
        <v>0</v>
      </c>
      <c r="C59" s="181">
        <v>0</v>
      </c>
      <c r="D59" s="181">
        <v>0</v>
      </c>
      <c r="E59" s="181">
        <v>0</v>
      </c>
      <c r="F59" s="181">
        <v>0</v>
      </c>
      <c r="G59" s="181">
        <v>0</v>
      </c>
      <c r="H59" s="181">
        <v>0</v>
      </c>
      <c r="I59" s="181">
        <v>0</v>
      </c>
      <c r="J59" s="181">
        <v>0</v>
      </c>
      <c r="K59" s="181">
        <v>0</v>
      </c>
      <c r="L59" s="181">
        <v>0</v>
      </c>
      <c r="M59" s="181">
        <v>0</v>
      </c>
      <c r="N59" s="181">
        <v>0</v>
      </c>
      <c r="O59" s="181">
        <v>0</v>
      </c>
      <c r="P59" s="181">
        <v>0</v>
      </c>
      <c r="Q59" s="181">
        <v>0</v>
      </c>
      <c r="R59" s="181">
        <v>0</v>
      </c>
      <c r="S59" s="179">
        <f t="shared" si="12"/>
        <v>0</v>
      </c>
    </row>
    <row r="60" spans="1:19" ht="21" customHeight="1">
      <c r="A60" s="188">
        <v>330300</v>
      </c>
      <c r="B60" s="181">
        <v>0</v>
      </c>
      <c r="C60" s="181">
        <v>0</v>
      </c>
      <c r="D60" s="181">
        <v>0</v>
      </c>
      <c r="E60" s="181">
        <v>0</v>
      </c>
      <c r="F60" s="181">
        <v>0</v>
      </c>
      <c r="G60" s="181">
        <v>0</v>
      </c>
      <c r="H60" s="181">
        <v>0</v>
      </c>
      <c r="I60" s="181">
        <v>0</v>
      </c>
      <c r="J60" s="181">
        <v>0</v>
      </c>
      <c r="K60" s="181">
        <v>0</v>
      </c>
      <c r="L60" s="181">
        <v>0</v>
      </c>
      <c r="M60" s="181">
        <v>0</v>
      </c>
      <c r="N60" s="181">
        <v>0</v>
      </c>
      <c r="O60" s="181">
        <v>0</v>
      </c>
      <c r="P60" s="181">
        <v>0</v>
      </c>
      <c r="Q60" s="181">
        <v>0</v>
      </c>
      <c r="R60" s="181">
        <v>0</v>
      </c>
      <c r="S60" s="179">
        <f t="shared" si="12"/>
        <v>0</v>
      </c>
    </row>
    <row r="61" spans="1:19" ht="21" customHeight="1">
      <c r="A61" s="188">
        <v>330400</v>
      </c>
      <c r="B61" s="181">
        <v>0</v>
      </c>
      <c r="C61" s="181">
        <v>0</v>
      </c>
      <c r="D61" s="181">
        <v>0</v>
      </c>
      <c r="E61" s="181">
        <v>0</v>
      </c>
      <c r="F61" s="181">
        <v>0</v>
      </c>
      <c r="G61" s="181">
        <v>0</v>
      </c>
      <c r="H61" s="181">
        <v>0</v>
      </c>
      <c r="I61" s="181">
        <v>0</v>
      </c>
      <c r="J61" s="181">
        <v>0</v>
      </c>
      <c r="K61" s="181">
        <v>0</v>
      </c>
      <c r="L61" s="181">
        <v>0</v>
      </c>
      <c r="M61" s="181">
        <v>0</v>
      </c>
      <c r="N61" s="181">
        <v>0</v>
      </c>
      <c r="O61" s="181">
        <v>0</v>
      </c>
      <c r="P61" s="181">
        <v>0</v>
      </c>
      <c r="Q61" s="181">
        <v>0</v>
      </c>
      <c r="R61" s="181">
        <v>0</v>
      </c>
      <c r="S61" s="179">
        <f>SUM(B61:R61)</f>
        <v>0</v>
      </c>
    </row>
    <row r="62" spans="1:19" ht="21" customHeight="1">
      <c r="A62" s="188">
        <v>330600</v>
      </c>
      <c r="B62" s="181">
        <v>0</v>
      </c>
      <c r="C62" s="181">
        <v>0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81">
        <v>0</v>
      </c>
      <c r="M62" s="181">
        <v>0</v>
      </c>
      <c r="N62" s="181">
        <v>0</v>
      </c>
      <c r="O62" s="181">
        <v>0</v>
      </c>
      <c r="P62" s="181">
        <v>0</v>
      </c>
      <c r="Q62" s="181">
        <v>0</v>
      </c>
      <c r="R62" s="181">
        <v>0</v>
      </c>
      <c r="S62" s="179">
        <f t="shared" ref="S62:S71" si="13">SUM(B62:R62)</f>
        <v>0</v>
      </c>
    </row>
    <row r="63" spans="1:19" ht="21" customHeight="1">
      <c r="A63" s="188">
        <v>330700</v>
      </c>
      <c r="B63" s="181">
        <v>0</v>
      </c>
      <c r="C63" s="181">
        <v>0</v>
      </c>
      <c r="D63" s="181">
        <v>0</v>
      </c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1">
        <v>0</v>
      </c>
      <c r="K63" s="181">
        <v>0</v>
      </c>
      <c r="L63" s="181">
        <v>0</v>
      </c>
      <c r="M63" s="181">
        <v>0</v>
      </c>
      <c r="N63" s="181">
        <v>0</v>
      </c>
      <c r="O63" s="181">
        <v>0</v>
      </c>
      <c r="P63" s="181">
        <v>0</v>
      </c>
      <c r="Q63" s="181">
        <v>0</v>
      </c>
      <c r="R63" s="181">
        <v>0</v>
      </c>
      <c r="S63" s="179">
        <f t="shared" si="13"/>
        <v>0</v>
      </c>
    </row>
    <row r="64" spans="1:19" ht="21" customHeight="1">
      <c r="A64" s="188">
        <v>330800</v>
      </c>
      <c r="B64" s="181">
        <v>12205</v>
      </c>
      <c r="C64" s="181">
        <v>0</v>
      </c>
      <c r="D64" s="181">
        <v>0</v>
      </c>
      <c r="E64" s="181">
        <v>0</v>
      </c>
      <c r="F64" s="181">
        <v>0</v>
      </c>
      <c r="G64" s="181">
        <v>0</v>
      </c>
      <c r="H64" s="181">
        <v>0</v>
      </c>
      <c r="I64" s="181">
        <v>0</v>
      </c>
      <c r="J64" s="181">
        <v>0</v>
      </c>
      <c r="K64" s="181">
        <v>0</v>
      </c>
      <c r="L64" s="181">
        <v>0</v>
      </c>
      <c r="M64" s="181">
        <v>0</v>
      </c>
      <c r="N64" s="181">
        <v>0</v>
      </c>
      <c r="O64" s="181">
        <v>0</v>
      </c>
      <c r="P64" s="181">
        <v>0</v>
      </c>
      <c r="Q64" s="181">
        <v>0</v>
      </c>
      <c r="R64" s="181">
        <v>0</v>
      </c>
      <c r="S64" s="179">
        <f t="shared" si="13"/>
        <v>12205</v>
      </c>
    </row>
    <row r="65" spans="1:19" ht="21" customHeight="1">
      <c r="A65" s="188">
        <v>330900</v>
      </c>
      <c r="B65" s="181">
        <v>0</v>
      </c>
      <c r="C65" s="181">
        <v>0</v>
      </c>
      <c r="D65" s="181">
        <v>0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1">
        <v>0</v>
      </c>
      <c r="K65" s="181">
        <v>0</v>
      </c>
      <c r="L65" s="181">
        <v>0</v>
      </c>
      <c r="M65" s="181">
        <v>0</v>
      </c>
      <c r="N65" s="181">
        <v>0</v>
      </c>
      <c r="O65" s="181">
        <v>0</v>
      </c>
      <c r="P65" s="181">
        <v>0</v>
      </c>
      <c r="Q65" s="181">
        <v>0</v>
      </c>
      <c r="R65" s="181">
        <v>0</v>
      </c>
      <c r="S65" s="179">
        <f t="shared" si="13"/>
        <v>0</v>
      </c>
    </row>
    <row r="66" spans="1:19" ht="21" customHeight="1">
      <c r="A66" s="188">
        <v>331000</v>
      </c>
      <c r="B66" s="181">
        <v>0</v>
      </c>
      <c r="C66" s="181">
        <v>0</v>
      </c>
      <c r="D66" s="181">
        <v>0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  <c r="N66" s="181">
        <v>0</v>
      </c>
      <c r="O66" s="181">
        <v>0</v>
      </c>
      <c r="P66" s="181">
        <v>3420</v>
      </c>
      <c r="Q66" s="181">
        <v>0</v>
      </c>
      <c r="R66" s="181">
        <v>0</v>
      </c>
      <c r="S66" s="179">
        <f t="shared" si="13"/>
        <v>3420</v>
      </c>
    </row>
    <row r="67" spans="1:19" ht="21" customHeight="1">
      <c r="A67" s="188">
        <v>331100</v>
      </c>
      <c r="B67" s="181">
        <v>0</v>
      </c>
      <c r="C67" s="181">
        <v>0</v>
      </c>
      <c r="D67" s="181">
        <v>0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  <c r="K67" s="181">
        <v>0</v>
      </c>
      <c r="L67" s="181">
        <v>0</v>
      </c>
      <c r="M67" s="181">
        <v>0</v>
      </c>
      <c r="N67" s="181">
        <v>0</v>
      </c>
      <c r="O67" s="181">
        <v>0</v>
      </c>
      <c r="P67" s="181">
        <v>0</v>
      </c>
      <c r="Q67" s="181">
        <v>0</v>
      </c>
      <c r="R67" s="181">
        <v>0</v>
      </c>
      <c r="S67" s="179">
        <f t="shared" si="13"/>
        <v>0</v>
      </c>
    </row>
    <row r="68" spans="1:19" ht="21" customHeight="1">
      <c r="A68" s="188">
        <v>331400</v>
      </c>
      <c r="B68" s="181">
        <v>0</v>
      </c>
      <c r="C68" s="181">
        <v>0</v>
      </c>
      <c r="D68" s="181">
        <v>0</v>
      </c>
      <c r="E68" s="181">
        <v>0</v>
      </c>
      <c r="F68" s="181">
        <v>0</v>
      </c>
      <c r="G68" s="181">
        <v>0</v>
      </c>
      <c r="H68" s="181">
        <v>0</v>
      </c>
      <c r="I68" s="181">
        <v>0</v>
      </c>
      <c r="J68" s="181">
        <v>0</v>
      </c>
      <c r="K68" s="181">
        <v>0</v>
      </c>
      <c r="L68" s="181">
        <v>0</v>
      </c>
      <c r="M68" s="181">
        <v>0</v>
      </c>
      <c r="N68" s="181">
        <v>0</v>
      </c>
      <c r="O68" s="181">
        <v>0</v>
      </c>
      <c r="P68" s="181">
        <v>0</v>
      </c>
      <c r="Q68" s="181">
        <v>0</v>
      </c>
      <c r="R68" s="181">
        <v>0</v>
      </c>
      <c r="S68" s="179">
        <f t="shared" si="13"/>
        <v>0</v>
      </c>
    </row>
    <row r="69" spans="1:19" ht="21" customHeight="1">
      <c r="A69" s="188">
        <v>331700</v>
      </c>
      <c r="B69" s="181">
        <v>0</v>
      </c>
      <c r="C69" s="181">
        <v>0</v>
      </c>
      <c r="D69" s="181">
        <v>0</v>
      </c>
      <c r="E69" s="181">
        <v>0</v>
      </c>
      <c r="F69" s="181">
        <v>0</v>
      </c>
      <c r="G69" s="181">
        <v>0</v>
      </c>
      <c r="H69" s="181">
        <f>13200-13200</f>
        <v>0</v>
      </c>
      <c r="I69" s="181">
        <v>0</v>
      </c>
      <c r="J69" s="181">
        <v>0</v>
      </c>
      <c r="K69" s="181">
        <f>13200-13200</f>
        <v>0</v>
      </c>
      <c r="L69" s="181">
        <v>0</v>
      </c>
      <c r="M69" s="181">
        <v>0</v>
      </c>
      <c r="N69" s="181">
        <v>0</v>
      </c>
      <c r="O69" s="181">
        <v>0</v>
      </c>
      <c r="P69" s="181">
        <v>0</v>
      </c>
      <c r="Q69" s="181">
        <v>17000</v>
      </c>
      <c r="R69" s="181">
        <v>0</v>
      </c>
      <c r="S69" s="179">
        <f t="shared" si="13"/>
        <v>17000</v>
      </c>
    </row>
    <row r="70" spans="1:19" s="160" customFormat="1" ht="21">
      <c r="A70" s="182" t="s">
        <v>156</v>
      </c>
      <c r="B70" s="183">
        <f t="shared" ref="B70:R70" si="14">SUM(B58:B69)</f>
        <v>12605</v>
      </c>
      <c r="C70" s="183">
        <f t="shared" si="14"/>
        <v>0</v>
      </c>
      <c r="D70" s="183">
        <f t="shared" si="14"/>
        <v>0</v>
      </c>
      <c r="E70" s="183">
        <f t="shared" si="14"/>
        <v>0</v>
      </c>
      <c r="F70" s="183">
        <f t="shared" si="14"/>
        <v>0</v>
      </c>
      <c r="G70" s="183">
        <f t="shared" si="14"/>
        <v>0</v>
      </c>
      <c r="H70" s="183">
        <f t="shared" si="14"/>
        <v>0</v>
      </c>
      <c r="I70" s="183">
        <f t="shared" si="14"/>
        <v>0</v>
      </c>
      <c r="J70" s="183">
        <f t="shared" si="14"/>
        <v>0</v>
      </c>
      <c r="K70" s="183">
        <f t="shared" si="14"/>
        <v>0</v>
      </c>
      <c r="L70" s="183">
        <f t="shared" si="14"/>
        <v>0</v>
      </c>
      <c r="M70" s="183">
        <f t="shared" si="14"/>
        <v>0</v>
      </c>
      <c r="N70" s="183">
        <f t="shared" si="14"/>
        <v>0</v>
      </c>
      <c r="O70" s="183">
        <f t="shared" si="14"/>
        <v>0</v>
      </c>
      <c r="P70" s="183">
        <f t="shared" si="14"/>
        <v>3420</v>
      </c>
      <c r="Q70" s="183">
        <f t="shared" si="14"/>
        <v>17000</v>
      </c>
      <c r="R70" s="183">
        <f t="shared" si="14"/>
        <v>0</v>
      </c>
      <c r="S70" s="184">
        <f t="shared" si="13"/>
        <v>33025</v>
      </c>
    </row>
    <row r="71" spans="1:19" s="185" customFormat="1" ht="21">
      <c r="A71" s="182" t="s">
        <v>157</v>
      </c>
      <c r="B71" s="183">
        <v>12605</v>
      </c>
      <c r="C71" s="183">
        <v>0</v>
      </c>
      <c r="D71" s="183">
        <v>0</v>
      </c>
      <c r="E71" s="183">
        <f>0</f>
        <v>0</v>
      </c>
      <c r="F71" s="183">
        <v>0</v>
      </c>
      <c r="G71" s="183">
        <v>0</v>
      </c>
      <c r="H71" s="183">
        <v>0</v>
      </c>
      <c r="I71" s="183">
        <v>0</v>
      </c>
      <c r="J71" s="183">
        <v>0</v>
      </c>
      <c r="K71" s="183">
        <v>0</v>
      </c>
      <c r="L71" s="183">
        <f>0</f>
        <v>0</v>
      </c>
      <c r="M71" s="183">
        <v>0</v>
      </c>
      <c r="N71" s="183">
        <v>0</v>
      </c>
      <c r="O71" s="183">
        <f>0</f>
        <v>0</v>
      </c>
      <c r="P71" s="183">
        <v>3420</v>
      </c>
      <c r="Q71" s="183">
        <v>17000</v>
      </c>
      <c r="R71" s="183">
        <f>0</f>
        <v>0</v>
      </c>
      <c r="S71" s="184">
        <f t="shared" si="13"/>
        <v>33025</v>
      </c>
    </row>
    <row r="72" spans="1:19" s="185" customFormat="1" ht="21">
      <c r="A72" s="346"/>
      <c r="B72" s="347"/>
      <c r="C72" s="347"/>
      <c r="D72" s="347"/>
      <c r="E72" s="347"/>
      <c r="F72" s="347"/>
      <c r="G72" s="347"/>
      <c r="H72" s="347"/>
      <c r="I72" s="347"/>
      <c r="J72" s="347"/>
      <c r="K72" s="347"/>
      <c r="L72" s="347"/>
      <c r="M72" s="347"/>
      <c r="N72" s="347"/>
      <c r="O72" s="347"/>
      <c r="P72" s="347"/>
      <c r="Q72" s="347"/>
      <c r="R72" s="347"/>
      <c r="S72" s="348"/>
    </row>
    <row r="73" spans="1:19" s="185" customFormat="1" ht="21">
      <c r="A73" s="190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309"/>
    </row>
    <row r="74" spans="1:19" s="185" customFormat="1" ht="21">
      <c r="A74" s="190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309"/>
    </row>
    <row r="75" spans="1:19" s="185" customFormat="1" ht="21">
      <c r="A75" s="190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309"/>
    </row>
    <row r="76" spans="1:19" s="185" customFormat="1" ht="21">
      <c r="A76" s="190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309"/>
    </row>
    <row r="77" spans="1:19" ht="21" customHeight="1" thickBot="1">
      <c r="A77" s="433" t="s">
        <v>163</v>
      </c>
      <c r="B77" s="433"/>
      <c r="C77" s="433"/>
      <c r="D77" s="433"/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  <c r="P77" s="433"/>
      <c r="Q77" s="433"/>
      <c r="R77" s="433"/>
      <c r="S77" s="433"/>
    </row>
    <row r="78" spans="1:19" s="165" customFormat="1" ht="21.75" customHeight="1">
      <c r="A78" s="161" t="s">
        <v>121</v>
      </c>
      <c r="B78" s="434" t="s">
        <v>122</v>
      </c>
      <c r="C78" s="435"/>
      <c r="D78" s="436"/>
      <c r="E78" s="344" t="s">
        <v>123</v>
      </c>
      <c r="F78" s="434" t="s">
        <v>124</v>
      </c>
      <c r="G78" s="436"/>
      <c r="H78" s="162" t="s">
        <v>125</v>
      </c>
      <c r="I78" s="434" t="s">
        <v>126</v>
      </c>
      <c r="J78" s="436"/>
      <c r="K78" s="437" t="s">
        <v>127</v>
      </c>
      <c r="L78" s="438"/>
      <c r="M78" s="434" t="s">
        <v>128</v>
      </c>
      <c r="N78" s="435"/>
      <c r="O78" s="436"/>
      <c r="P78" s="163" t="s">
        <v>129</v>
      </c>
      <c r="Q78" s="163" t="s">
        <v>130</v>
      </c>
      <c r="R78" s="162" t="s">
        <v>131</v>
      </c>
      <c r="S78" s="164" t="s">
        <v>109</v>
      </c>
    </row>
    <row r="79" spans="1:19" s="165" customFormat="1" ht="22.5" thickBot="1">
      <c r="A79" s="166" t="s">
        <v>132</v>
      </c>
      <c r="B79" s="167" t="s">
        <v>133</v>
      </c>
      <c r="C79" s="168" t="s">
        <v>134</v>
      </c>
      <c r="D79" s="168" t="s">
        <v>135</v>
      </c>
      <c r="E79" s="169" t="s">
        <v>136</v>
      </c>
      <c r="F79" s="167" t="s">
        <v>167</v>
      </c>
      <c r="G79" s="167" t="s">
        <v>137</v>
      </c>
      <c r="H79" s="167" t="s">
        <v>138</v>
      </c>
      <c r="I79" s="169" t="s">
        <v>139</v>
      </c>
      <c r="J79" s="169" t="s">
        <v>140</v>
      </c>
      <c r="K79" s="167" t="s">
        <v>141</v>
      </c>
      <c r="L79" s="170" t="s">
        <v>168</v>
      </c>
      <c r="M79" s="168" t="s">
        <v>142</v>
      </c>
      <c r="N79" s="168" t="s">
        <v>143</v>
      </c>
      <c r="O79" s="345" t="s">
        <v>144</v>
      </c>
      <c r="P79" s="170" t="s">
        <v>145</v>
      </c>
      <c r="Q79" s="170" t="s">
        <v>146</v>
      </c>
      <c r="R79" s="169" t="s">
        <v>147</v>
      </c>
      <c r="S79" s="171"/>
    </row>
    <row r="80" spans="1:19" ht="21" customHeight="1">
      <c r="A80" s="186">
        <v>534000</v>
      </c>
      <c r="B80" s="187"/>
      <c r="C80" s="187"/>
      <c r="D80" s="184"/>
      <c r="E80" s="184"/>
      <c r="F80" s="179"/>
      <c r="G80" s="179"/>
      <c r="H80" s="184"/>
      <c r="I80" s="184"/>
      <c r="J80" s="183"/>
      <c r="K80" s="184"/>
      <c r="L80" s="179"/>
      <c r="M80" s="184"/>
      <c r="N80" s="184"/>
      <c r="O80" s="184"/>
      <c r="P80" s="179"/>
      <c r="Q80" s="184"/>
      <c r="R80" s="183"/>
      <c r="S80" s="179"/>
    </row>
    <row r="81" spans="1:19" ht="21" customHeight="1">
      <c r="A81" s="188">
        <v>340100</v>
      </c>
      <c r="B81" s="181">
        <v>14585.34</v>
      </c>
      <c r="C81" s="181">
        <v>0</v>
      </c>
      <c r="D81" s="181">
        <v>0</v>
      </c>
      <c r="E81" s="181">
        <v>0</v>
      </c>
      <c r="F81" s="181">
        <v>0</v>
      </c>
      <c r="G81" s="181">
        <v>0</v>
      </c>
      <c r="H81" s="181">
        <v>0</v>
      </c>
      <c r="I81" s="181">
        <v>0</v>
      </c>
      <c r="J81" s="181">
        <v>0</v>
      </c>
      <c r="K81" s="181">
        <v>0</v>
      </c>
      <c r="L81" s="181">
        <v>0</v>
      </c>
      <c r="M81" s="181">
        <v>0</v>
      </c>
      <c r="N81" s="181">
        <v>0</v>
      </c>
      <c r="O81" s="181">
        <v>0</v>
      </c>
      <c r="P81" s="181">
        <v>0</v>
      </c>
      <c r="Q81" s="181">
        <v>36558.080000000002</v>
      </c>
      <c r="R81" s="181">
        <v>0</v>
      </c>
      <c r="S81" s="179">
        <f t="shared" ref="S81:S86" si="15">SUM(B81:R81)</f>
        <v>51143.42</v>
      </c>
    </row>
    <row r="82" spans="1:19" ht="21" customHeight="1">
      <c r="A82" s="188">
        <v>340300</v>
      </c>
      <c r="B82" s="181">
        <v>321</v>
      </c>
      <c r="C82" s="181">
        <v>0</v>
      </c>
      <c r="D82" s="181">
        <v>0</v>
      </c>
      <c r="E82" s="181">
        <v>0</v>
      </c>
      <c r="F82" s="181">
        <v>0</v>
      </c>
      <c r="G82" s="181">
        <v>0</v>
      </c>
      <c r="H82" s="181">
        <v>0</v>
      </c>
      <c r="I82" s="181">
        <v>0</v>
      </c>
      <c r="J82" s="181">
        <v>0</v>
      </c>
      <c r="K82" s="181">
        <v>0</v>
      </c>
      <c r="L82" s="181">
        <v>0</v>
      </c>
      <c r="M82" s="181">
        <v>0</v>
      </c>
      <c r="N82" s="181">
        <v>0</v>
      </c>
      <c r="O82" s="181">
        <v>0</v>
      </c>
      <c r="P82" s="181">
        <v>0</v>
      </c>
      <c r="Q82" s="181">
        <v>0</v>
      </c>
      <c r="R82" s="181">
        <v>0</v>
      </c>
      <c r="S82" s="179">
        <f t="shared" si="15"/>
        <v>321</v>
      </c>
    </row>
    <row r="83" spans="1:19" ht="21" customHeight="1">
      <c r="A83" s="188">
        <v>340400</v>
      </c>
      <c r="B83" s="181">
        <v>0</v>
      </c>
      <c r="C83" s="181">
        <v>0</v>
      </c>
      <c r="D83" s="181">
        <v>0</v>
      </c>
      <c r="E83" s="181">
        <v>0</v>
      </c>
      <c r="F83" s="181">
        <v>0</v>
      </c>
      <c r="G83" s="181">
        <v>0</v>
      </c>
      <c r="H83" s="181">
        <v>0</v>
      </c>
      <c r="I83" s="181">
        <v>0</v>
      </c>
      <c r="J83" s="181">
        <v>0</v>
      </c>
      <c r="K83" s="181">
        <v>0</v>
      </c>
      <c r="L83" s="181">
        <v>0</v>
      </c>
      <c r="M83" s="181">
        <v>0</v>
      </c>
      <c r="N83" s="181">
        <v>0</v>
      </c>
      <c r="O83" s="181">
        <v>0</v>
      </c>
      <c r="P83" s="181">
        <v>0</v>
      </c>
      <c r="Q83" s="181">
        <v>0</v>
      </c>
      <c r="R83" s="181">
        <v>0</v>
      </c>
      <c r="S83" s="179">
        <f t="shared" si="15"/>
        <v>0</v>
      </c>
    </row>
    <row r="84" spans="1:19" ht="21" customHeight="1">
      <c r="A84" s="188">
        <v>340500</v>
      </c>
      <c r="B84" s="181">
        <v>6880.1</v>
      </c>
      <c r="C84" s="181">
        <v>0</v>
      </c>
      <c r="D84" s="181">
        <v>0</v>
      </c>
      <c r="E84" s="181">
        <v>0</v>
      </c>
      <c r="F84" s="181">
        <v>0</v>
      </c>
      <c r="G84" s="181">
        <v>0</v>
      </c>
      <c r="H84" s="181">
        <v>0</v>
      </c>
      <c r="I84" s="181">
        <v>0</v>
      </c>
      <c r="J84" s="181">
        <v>0</v>
      </c>
      <c r="K84" s="181">
        <v>0</v>
      </c>
      <c r="L84" s="181">
        <v>0</v>
      </c>
      <c r="M84" s="181">
        <v>0</v>
      </c>
      <c r="N84" s="181">
        <v>0</v>
      </c>
      <c r="O84" s="181">
        <v>0</v>
      </c>
      <c r="P84" s="181">
        <v>0</v>
      </c>
      <c r="Q84" s="181">
        <v>0</v>
      </c>
      <c r="R84" s="181">
        <v>0</v>
      </c>
      <c r="S84" s="179">
        <f t="shared" si="15"/>
        <v>6880.1</v>
      </c>
    </row>
    <row r="85" spans="1:19">
      <c r="A85" s="182" t="s">
        <v>156</v>
      </c>
      <c r="B85" s="184">
        <f t="shared" ref="B85:R85" si="16">SUM(B81:B84)</f>
        <v>21786.440000000002</v>
      </c>
      <c r="C85" s="184">
        <f t="shared" si="16"/>
        <v>0</v>
      </c>
      <c r="D85" s="184">
        <f t="shared" si="16"/>
        <v>0</v>
      </c>
      <c r="E85" s="184">
        <f t="shared" si="16"/>
        <v>0</v>
      </c>
      <c r="F85" s="184">
        <f t="shared" si="16"/>
        <v>0</v>
      </c>
      <c r="G85" s="184">
        <f t="shared" si="16"/>
        <v>0</v>
      </c>
      <c r="H85" s="184">
        <f t="shared" si="16"/>
        <v>0</v>
      </c>
      <c r="I85" s="184">
        <f t="shared" si="16"/>
        <v>0</v>
      </c>
      <c r="J85" s="184">
        <f t="shared" si="16"/>
        <v>0</v>
      </c>
      <c r="K85" s="184">
        <f t="shared" si="16"/>
        <v>0</v>
      </c>
      <c r="L85" s="184">
        <f t="shared" si="16"/>
        <v>0</v>
      </c>
      <c r="M85" s="184">
        <f t="shared" si="16"/>
        <v>0</v>
      </c>
      <c r="N85" s="184">
        <f t="shared" si="16"/>
        <v>0</v>
      </c>
      <c r="O85" s="184">
        <f t="shared" si="16"/>
        <v>0</v>
      </c>
      <c r="P85" s="184">
        <f t="shared" si="16"/>
        <v>0</v>
      </c>
      <c r="Q85" s="184">
        <f t="shared" si="16"/>
        <v>36558.080000000002</v>
      </c>
      <c r="R85" s="184">
        <f t="shared" si="16"/>
        <v>0</v>
      </c>
      <c r="S85" s="184">
        <f t="shared" si="15"/>
        <v>58344.520000000004</v>
      </c>
    </row>
    <row r="86" spans="1:19" s="189" customFormat="1">
      <c r="A86" s="182" t="s">
        <v>157</v>
      </c>
      <c r="B86" s="183">
        <f>22554.58+21786.44</f>
        <v>44341.020000000004</v>
      </c>
      <c r="C86" s="183">
        <v>0</v>
      </c>
      <c r="D86" s="183">
        <f>0</f>
        <v>0</v>
      </c>
      <c r="E86" s="183">
        <f>0</f>
        <v>0</v>
      </c>
      <c r="F86" s="183">
        <f>0</f>
        <v>0</v>
      </c>
      <c r="G86" s="183">
        <f>0</f>
        <v>0</v>
      </c>
      <c r="H86" s="183">
        <f>0</f>
        <v>0</v>
      </c>
      <c r="I86" s="183">
        <v>0</v>
      </c>
      <c r="J86" s="183">
        <f>0</f>
        <v>0</v>
      </c>
      <c r="K86" s="183">
        <f>0</f>
        <v>0</v>
      </c>
      <c r="L86" s="183">
        <f>0</f>
        <v>0</v>
      </c>
      <c r="M86" s="183">
        <f>0</f>
        <v>0</v>
      </c>
      <c r="N86" s="183">
        <f>0</f>
        <v>0</v>
      </c>
      <c r="O86" s="183">
        <f>0</f>
        <v>0</v>
      </c>
      <c r="P86" s="183">
        <f>0</f>
        <v>0</v>
      </c>
      <c r="Q86" s="183">
        <f>34481.37+36558.08</f>
        <v>71039.450000000012</v>
      </c>
      <c r="R86" s="183">
        <f>0</f>
        <v>0</v>
      </c>
      <c r="S86" s="184">
        <f t="shared" si="15"/>
        <v>115380.47000000002</v>
      </c>
    </row>
    <row r="87" spans="1:19" ht="21" customHeight="1">
      <c r="A87" s="186">
        <v>541000</v>
      </c>
      <c r="B87" s="187"/>
      <c r="C87" s="187"/>
      <c r="D87" s="184"/>
      <c r="E87" s="184"/>
      <c r="F87" s="179"/>
      <c r="G87" s="179"/>
      <c r="H87" s="184"/>
      <c r="I87" s="184"/>
      <c r="J87" s="183"/>
      <c r="K87" s="184"/>
      <c r="L87" s="179"/>
      <c r="M87" s="184"/>
      <c r="N87" s="184"/>
      <c r="O87" s="184"/>
      <c r="P87" s="179"/>
      <c r="Q87" s="184"/>
      <c r="R87" s="183"/>
      <c r="S87" s="179"/>
    </row>
    <row r="88" spans="1:19" ht="21" customHeight="1">
      <c r="A88" s="203">
        <v>410100</v>
      </c>
      <c r="B88" s="180">
        <v>0</v>
      </c>
      <c r="C88" s="180">
        <v>0</v>
      </c>
      <c r="D88" s="181">
        <v>0</v>
      </c>
      <c r="E88" s="181">
        <v>0</v>
      </c>
      <c r="F88" s="181">
        <v>0</v>
      </c>
      <c r="G88" s="181">
        <v>0</v>
      </c>
      <c r="H88" s="181">
        <v>0</v>
      </c>
      <c r="I88" s="181">
        <v>0</v>
      </c>
      <c r="J88" s="181">
        <v>0</v>
      </c>
      <c r="K88" s="181">
        <v>0</v>
      </c>
      <c r="L88" s="181">
        <v>0</v>
      </c>
      <c r="M88" s="179">
        <v>0</v>
      </c>
      <c r="N88" s="179">
        <v>0</v>
      </c>
      <c r="O88" s="181">
        <v>0</v>
      </c>
      <c r="P88" s="181">
        <v>0</v>
      </c>
      <c r="Q88" s="181">
        <v>0</v>
      </c>
      <c r="R88" s="181">
        <v>0</v>
      </c>
      <c r="S88" s="179">
        <f t="shared" ref="S88:S89" si="17">SUM(B88:R88)</f>
        <v>0</v>
      </c>
    </row>
    <row r="89" spans="1:19" ht="21" customHeight="1">
      <c r="A89" s="188">
        <v>410300</v>
      </c>
      <c r="B89" s="181">
        <v>0</v>
      </c>
      <c r="C89" s="181">
        <v>0</v>
      </c>
      <c r="D89" s="181">
        <v>0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  <c r="K89" s="181">
        <v>0</v>
      </c>
      <c r="L89" s="181">
        <v>0</v>
      </c>
      <c r="M89" s="181">
        <v>0</v>
      </c>
      <c r="N89" s="181">
        <v>0</v>
      </c>
      <c r="O89" s="181">
        <v>0</v>
      </c>
      <c r="P89" s="181">
        <v>0</v>
      </c>
      <c r="Q89" s="181">
        <v>0</v>
      </c>
      <c r="R89" s="181">
        <v>0</v>
      </c>
      <c r="S89" s="179">
        <f t="shared" si="17"/>
        <v>0</v>
      </c>
    </row>
    <row r="90" spans="1:19" ht="21" customHeight="1">
      <c r="A90" s="188">
        <v>410400</v>
      </c>
      <c r="B90" s="181">
        <v>0</v>
      </c>
      <c r="C90" s="181">
        <v>0</v>
      </c>
      <c r="D90" s="181">
        <v>0</v>
      </c>
      <c r="E90" s="181">
        <v>0</v>
      </c>
      <c r="F90" s="181">
        <v>0</v>
      </c>
      <c r="G90" s="181">
        <v>0</v>
      </c>
      <c r="H90" s="181">
        <v>0</v>
      </c>
      <c r="I90" s="181">
        <v>0</v>
      </c>
      <c r="J90" s="181">
        <v>0</v>
      </c>
      <c r="K90" s="181">
        <v>0</v>
      </c>
      <c r="L90" s="181">
        <v>0</v>
      </c>
      <c r="M90" s="181">
        <v>0</v>
      </c>
      <c r="N90" s="181">
        <v>0</v>
      </c>
      <c r="O90" s="181">
        <v>0</v>
      </c>
      <c r="P90" s="181">
        <v>0</v>
      </c>
      <c r="Q90" s="181">
        <v>0</v>
      </c>
      <c r="R90" s="181">
        <v>0</v>
      </c>
      <c r="S90" s="179">
        <f>SUM(B90:R90)</f>
        <v>0</v>
      </c>
    </row>
    <row r="91" spans="1:19" ht="21" customHeight="1">
      <c r="A91" s="188">
        <v>410600</v>
      </c>
      <c r="B91" s="181">
        <v>0</v>
      </c>
      <c r="C91" s="181">
        <v>0</v>
      </c>
      <c r="D91" s="181">
        <v>0</v>
      </c>
      <c r="E91" s="181">
        <v>0</v>
      </c>
      <c r="F91" s="181">
        <v>0</v>
      </c>
      <c r="G91" s="181">
        <v>0</v>
      </c>
      <c r="H91" s="181">
        <v>0</v>
      </c>
      <c r="I91" s="181">
        <v>0</v>
      </c>
      <c r="J91" s="181">
        <v>0</v>
      </c>
      <c r="K91" s="181">
        <v>0</v>
      </c>
      <c r="L91" s="181">
        <v>0</v>
      </c>
      <c r="M91" s="181">
        <v>0</v>
      </c>
      <c r="N91" s="181">
        <v>0</v>
      </c>
      <c r="O91" s="181">
        <v>0</v>
      </c>
      <c r="P91" s="181">
        <v>0</v>
      </c>
      <c r="Q91" s="181">
        <v>0</v>
      </c>
      <c r="R91" s="181">
        <v>0</v>
      </c>
      <c r="S91" s="179">
        <f>SUM(B91:R91)</f>
        <v>0</v>
      </c>
    </row>
    <row r="92" spans="1:19" ht="21" customHeight="1">
      <c r="A92" s="188">
        <v>410900</v>
      </c>
      <c r="B92" s="181">
        <v>0</v>
      </c>
      <c r="C92" s="181">
        <v>0</v>
      </c>
      <c r="D92" s="181">
        <v>0</v>
      </c>
      <c r="E92" s="181">
        <v>0</v>
      </c>
      <c r="F92" s="181">
        <v>0</v>
      </c>
      <c r="G92" s="181">
        <v>0</v>
      </c>
      <c r="H92" s="181">
        <v>0</v>
      </c>
      <c r="I92" s="181">
        <v>0</v>
      </c>
      <c r="J92" s="181">
        <v>0</v>
      </c>
      <c r="K92" s="181">
        <v>0</v>
      </c>
      <c r="L92" s="181">
        <v>0</v>
      </c>
      <c r="M92" s="181">
        <v>0</v>
      </c>
      <c r="N92" s="181">
        <v>0</v>
      </c>
      <c r="O92" s="181">
        <v>0</v>
      </c>
      <c r="P92" s="181">
        <v>0</v>
      </c>
      <c r="Q92" s="181">
        <v>0</v>
      </c>
      <c r="R92" s="181">
        <v>0</v>
      </c>
      <c r="S92" s="179">
        <f t="shared" ref="S92:S97" si="18">SUM(B92:R92)</f>
        <v>0</v>
      </c>
    </row>
    <row r="93" spans="1:19" ht="21" customHeight="1">
      <c r="A93" s="188">
        <v>411300</v>
      </c>
      <c r="B93" s="181">
        <v>0</v>
      </c>
      <c r="C93" s="181">
        <v>0</v>
      </c>
      <c r="D93" s="181">
        <v>0</v>
      </c>
      <c r="E93" s="181">
        <v>0</v>
      </c>
      <c r="F93" s="181">
        <v>0</v>
      </c>
      <c r="G93" s="181">
        <v>0</v>
      </c>
      <c r="H93" s="181">
        <v>0</v>
      </c>
      <c r="I93" s="181">
        <v>0</v>
      </c>
      <c r="J93" s="181">
        <v>0</v>
      </c>
      <c r="K93" s="181">
        <v>0</v>
      </c>
      <c r="L93" s="181">
        <v>0</v>
      </c>
      <c r="M93" s="181">
        <v>0</v>
      </c>
      <c r="N93" s="181">
        <v>0</v>
      </c>
      <c r="O93" s="181">
        <v>0</v>
      </c>
      <c r="P93" s="181">
        <v>0</v>
      </c>
      <c r="Q93" s="181">
        <v>0</v>
      </c>
      <c r="R93" s="181">
        <v>0</v>
      </c>
      <c r="S93" s="179">
        <f t="shared" si="18"/>
        <v>0</v>
      </c>
    </row>
    <row r="94" spans="1:19" ht="21" customHeight="1">
      <c r="A94" s="188">
        <v>411600</v>
      </c>
      <c r="B94" s="181">
        <v>0</v>
      </c>
      <c r="C94" s="181">
        <v>0</v>
      </c>
      <c r="D94" s="181">
        <v>0</v>
      </c>
      <c r="E94" s="181">
        <v>0</v>
      </c>
      <c r="F94" s="181">
        <v>0</v>
      </c>
      <c r="G94" s="181">
        <v>0</v>
      </c>
      <c r="H94" s="181">
        <v>0</v>
      </c>
      <c r="I94" s="181">
        <v>0</v>
      </c>
      <c r="J94" s="181">
        <v>0</v>
      </c>
      <c r="K94" s="181">
        <v>0</v>
      </c>
      <c r="L94" s="181">
        <v>0</v>
      </c>
      <c r="M94" s="181">
        <v>0</v>
      </c>
      <c r="N94" s="181">
        <v>0</v>
      </c>
      <c r="O94" s="181">
        <v>0</v>
      </c>
      <c r="P94" s="181">
        <v>0</v>
      </c>
      <c r="Q94" s="181">
        <v>0</v>
      </c>
      <c r="R94" s="181">
        <v>0</v>
      </c>
      <c r="S94" s="179">
        <f t="shared" si="18"/>
        <v>0</v>
      </c>
    </row>
    <row r="95" spans="1:19" ht="21" customHeight="1">
      <c r="A95" s="188">
        <v>411800</v>
      </c>
      <c r="B95" s="181">
        <v>0</v>
      </c>
      <c r="C95" s="181">
        <v>0</v>
      </c>
      <c r="D95" s="181">
        <v>0</v>
      </c>
      <c r="E95" s="181">
        <v>0</v>
      </c>
      <c r="F95" s="181">
        <v>0</v>
      </c>
      <c r="G95" s="181">
        <v>0</v>
      </c>
      <c r="H95" s="181">
        <v>0</v>
      </c>
      <c r="I95" s="181">
        <v>0</v>
      </c>
      <c r="J95" s="181">
        <v>0</v>
      </c>
      <c r="K95" s="181">
        <v>0</v>
      </c>
      <c r="L95" s="181">
        <v>0</v>
      </c>
      <c r="M95" s="181">
        <v>0</v>
      </c>
      <c r="N95" s="181">
        <v>0</v>
      </c>
      <c r="O95" s="181">
        <v>0</v>
      </c>
      <c r="P95" s="181">
        <v>0</v>
      </c>
      <c r="Q95" s="181">
        <v>0</v>
      </c>
      <c r="R95" s="181">
        <v>0</v>
      </c>
      <c r="S95" s="179">
        <f t="shared" si="18"/>
        <v>0</v>
      </c>
    </row>
    <row r="96" spans="1:19">
      <c r="A96" s="182" t="s">
        <v>156</v>
      </c>
      <c r="B96" s="184">
        <f t="shared" ref="B96:R96" si="19">SUM(B88:B95)</f>
        <v>0</v>
      </c>
      <c r="C96" s="184">
        <f t="shared" si="19"/>
        <v>0</v>
      </c>
      <c r="D96" s="184">
        <f t="shared" si="19"/>
        <v>0</v>
      </c>
      <c r="E96" s="184">
        <f t="shared" si="19"/>
        <v>0</v>
      </c>
      <c r="F96" s="184">
        <f t="shared" si="19"/>
        <v>0</v>
      </c>
      <c r="G96" s="184">
        <f t="shared" si="19"/>
        <v>0</v>
      </c>
      <c r="H96" s="184">
        <f t="shared" si="19"/>
        <v>0</v>
      </c>
      <c r="I96" s="184">
        <f t="shared" si="19"/>
        <v>0</v>
      </c>
      <c r="J96" s="184">
        <f t="shared" si="19"/>
        <v>0</v>
      </c>
      <c r="K96" s="184">
        <f t="shared" si="19"/>
        <v>0</v>
      </c>
      <c r="L96" s="184">
        <f t="shared" si="19"/>
        <v>0</v>
      </c>
      <c r="M96" s="184">
        <f t="shared" si="19"/>
        <v>0</v>
      </c>
      <c r="N96" s="184">
        <f t="shared" si="19"/>
        <v>0</v>
      </c>
      <c r="O96" s="184">
        <f t="shared" si="19"/>
        <v>0</v>
      </c>
      <c r="P96" s="184">
        <f t="shared" si="19"/>
        <v>0</v>
      </c>
      <c r="Q96" s="184">
        <f t="shared" si="19"/>
        <v>0</v>
      </c>
      <c r="R96" s="184">
        <f t="shared" si="19"/>
        <v>0</v>
      </c>
      <c r="S96" s="184">
        <f t="shared" si="18"/>
        <v>0</v>
      </c>
    </row>
    <row r="97" spans="1:19" s="189" customFormat="1">
      <c r="A97" s="182" t="s">
        <v>157</v>
      </c>
      <c r="B97" s="183">
        <v>0</v>
      </c>
      <c r="C97" s="183">
        <v>0</v>
      </c>
      <c r="D97" s="183">
        <v>0</v>
      </c>
      <c r="E97" s="183">
        <v>0</v>
      </c>
      <c r="F97" s="183">
        <v>0</v>
      </c>
      <c r="G97" s="183">
        <v>0</v>
      </c>
      <c r="H97" s="183">
        <v>0</v>
      </c>
      <c r="I97" s="183">
        <v>0</v>
      </c>
      <c r="J97" s="183">
        <v>0</v>
      </c>
      <c r="K97" s="183">
        <v>0</v>
      </c>
      <c r="L97" s="183">
        <v>0</v>
      </c>
      <c r="M97" s="183">
        <f>0</f>
        <v>0</v>
      </c>
      <c r="N97" s="183">
        <f>0</f>
        <v>0</v>
      </c>
      <c r="O97" s="183">
        <f>0</f>
        <v>0</v>
      </c>
      <c r="P97" s="183">
        <v>0</v>
      </c>
      <c r="Q97" s="183">
        <v>0</v>
      </c>
      <c r="R97" s="183">
        <f>0</f>
        <v>0</v>
      </c>
      <c r="S97" s="184">
        <f t="shared" si="18"/>
        <v>0</v>
      </c>
    </row>
    <row r="98" spans="1:19" ht="21" customHeight="1">
      <c r="A98" s="186">
        <v>542000</v>
      </c>
      <c r="B98" s="187"/>
      <c r="C98" s="187"/>
      <c r="D98" s="184"/>
      <c r="E98" s="184"/>
      <c r="F98" s="179"/>
      <c r="G98" s="179"/>
      <c r="H98" s="184"/>
      <c r="I98" s="184"/>
      <c r="J98" s="183"/>
      <c r="K98" s="184"/>
      <c r="L98" s="179"/>
      <c r="M98" s="184"/>
      <c r="N98" s="184"/>
      <c r="O98" s="184"/>
      <c r="P98" s="179"/>
      <c r="Q98" s="184"/>
      <c r="R98" s="183"/>
      <c r="S98" s="179"/>
    </row>
    <row r="99" spans="1:19">
      <c r="A99" s="188">
        <v>420900</v>
      </c>
      <c r="B99" s="181">
        <v>0</v>
      </c>
      <c r="C99" s="181">
        <v>0</v>
      </c>
      <c r="D99" s="181">
        <v>0</v>
      </c>
      <c r="E99" s="181">
        <v>0</v>
      </c>
      <c r="F99" s="181">
        <v>0</v>
      </c>
      <c r="G99" s="181">
        <v>0</v>
      </c>
      <c r="H99" s="181">
        <v>0</v>
      </c>
      <c r="I99" s="181">
        <v>0</v>
      </c>
      <c r="J99" s="181">
        <v>0</v>
      </c>
      <c r="K99" s="181">
        <v>0</v>
      </c>
      <c r="L99" s="181">
        <v>0</v>
      </c>
      <c r="M99" s="181">
        <v>0</v>
      </c>
      <c r="N99" s="181">
        <v>0</v>
      </c>
      <c r="O99" s="181">
        <v>0</v>
      </c>
      <c r="P99" s="181">
        <v>0</v>
      </c>
      <c r="Q99" s="181">
        <v>0</v>
      </c>
      <c r="R99" s="181">
        <v>0</v>
      </c>
      <c r="S99" s="179">
        <f>SUM(B99:R99)</f>
        <v>0</v>
      </c>
    </row>
    <row r="100" spans="1:19">
      <c r="A100" s="188">
        <v>421000</v>
      </c>
      <c r="B100" s="181">
        <v>0</v>
      </c>
      <c r="C100" s="181">
        <v>0</v>
      </c>
      <c r="D100" s="181">
        <v>0</v>
      </c>
      <c r="E100" s="181">
        <v>0</v>
      </c>
      <c r="F100" s="181">
        <v>0</v>
      </c>
      <c r="G100" s="181">
        <v>0</v>
      </c>
      <c r="H100" s="181">
        <v>0</v>
      </c>
      <c r="I100" s="181">
        <v>0</v>
      </c>
      <c r="J100" s="181">
        <v>0</v>
      </c>
      <c r="K100" s="181">
        <v>0</v>
      </c>
      <c r="L100" s="181">
        <v>0</v>
      </c>
      <c r="M100" s="181">
        <v>0</v>
      </c>
      <c r="N100" s="181">
        <v>0</v>
      </c>
      <c r="O100" s="181">
        <v>0</v>
      </c>
      <c r="P100" s="181">
        <v>0</v>
      </c>
      <c r="Q100" s="181">
        <v>0</v>
      </c>
      <c r="R100" s="181">
        <v>0</v>
      </c>
      <c r="S100" s="179">
        <f>SUM(B100:R100)</f>
        <v>0</v>
      </c>
    </row>
    <row r="101" spans="1:19">
      <c r="A101" s="188">
        <v>421100</v>
      </c>
      <c r="B101" s="181">
        <v>0</v>
      </c>
      <c r="C101" s="181">
        <v>0</v>
      </c>
      <c r="D101" s="181">
        <v>0</v>
      </c>
      <c r="E101" s="181">
        <v>0</v>
      </c>
      <c r="F101" s="181">
        <v>0</v>
      </c>
      <c r="G101" s="181">
        <v>0</v>
      </c>
      <c r="H101" s="181">
        <v>0</v>
      </c>
      <c r="I101" s="181">
        <v>0</v>
      </c>
      <c r="J101" s="181">
        <v>0</v>
      </c>
      <c r="K101" s="181">
        <v>0</v>
      </c>
      <c r="L101" s="181">
        <v>0</v>
      </c>
      <c r="M101" s="181">
        <v>0</v>
      </c>
      <c r="N101" s="181">
        <v>0</v>
      </c>
      <c r="O101" s="181">
        <v>0</v>
      </c>
      <c r="P101" s="181">
        <v>0</v>
      </c>
      <c r="Q101" s="181">
        <v>2500</v>
      </c>
      <c r="R101" s="181">
        <v>0</v>
      </c>
      <c r="S101" s="179">
        <f>SUM(B101:R101)</f>
        <v>2500</v>
      </c>
    </row>
    <row r="102" spans="1:19" s="160" customFormat="1" ht="21">
      <c r="A102" s="182" t="s">
        <v>156</v>
      </c>
      <c r="B102" s="184">
        <f t="shared" ref="B102:R102" si="20">SUM(B99:B101)</f>
        <v>0</v>
      </c>
      <c r="C102" s="184">
        <f t="shared" si="20"/>
        <v>0</v>
      </c>
      <c r="D102" s="184">
        <f t="shared" si="20"/>
        <v>0</v>
      </c>
      <c r="E102" s="184">
        <f t="shared" si="20"/>
        <v>0</v>
      </c>
      <c r="F102" s="184">
        <f t="shared" si="20"/>
        <v>0</v>
      </c>
      <c r="G102" s="184">
        <f t="shared" si="20"/>
        <v>0</v>
      </c>
      <c r="H102" s="184">
        <f t="shared" si="20"/>
        <v>0</v>
      </c>
      <c r="I102" s="184">
        <f t="shared" si="20"/>
        <v>0</v>
      </c>
      <c r="J102" s="184">
        <f t="shared" si="20"/>
        <v>0</v>
      </c>
      <c r="K102" s="184">
        <f t="shared" si="20"/>
        <v>0</v>
      </c>
      <c r="L102" s="184">
        <f t="shared" si="20"/>
        <v>0</v>
      </c>
      <c r="M102" s="184">
        <f t="shared" si="20"/>
        <v>0</v>
      </c>
      <c r="N102" s="184">
        <f t="shared" si="20"/>
        <v>0</v>
      </c>
      <c r="O102" s="184">
        <f t="shared" si="20"/>
        <v>0</v>
      </c>
      <c r="P102" s="184">
        <f t="shared" si="20"/>
        <v>0</v>
      </c>
      <c r="Q102" s="184">
        <f t="shared" si="20"/>
        <v>2500</v>
      </c>
      <c r="R102" s="184">
        <f t="shared" si="20"/>
        <v>0</v>
      </c>
      <c r="S102" s="184">
        <f>SUM(B102:R102)</f>
        <v>2500</v>
      </c>
    </row>
    <row r="103" spans="1:19" s="185" customFormat="1" ht="21">
      <c r="A103" s="182" t="s">
        <v>157</v>
      </c>
      <c r="B103" s="183">
        <v>0</v>
      </c>
      <c r="C103" s="183">
        <v>0</v>
      </c>
      <c r="D103" s="183">
        <f>0</f>
        <v>0</v>
      </c>
      <c r="E103" s="183">
        <f>0</f>
        <v>0</v>
      </c>
      <c r="F103" s="183">
        <v>0</v>
      </c>
      <c r="G103" s="183">
        <v>0</v>
      </c>
      <c r="H103" s="183">
        <f>0</f>
        <v>0</v>
      </c>
      <c r="I103" s="183">
        <v>0</v>
      </c>
      <c r="J103" s="183">
        <v>0</v>
      </c>
      <c r="K103" s="183">
        <f>0</f>
        <v>0</v>
      </c>
      <c r="L103" s="183">
        <f>0</f>
        <v>0</v>
      </c>
      <c r="M103" s="183">
        <f>0</f>
        <v>0</v>
      </c>
      <c r="N103" s="183">
        <f>0</f>
        <v>0</v>
      </c>
      <c r="O103" s="183">
        <f>0</f>
        <v>0</v>
      </c>
      <c r="P103" s="183">
        <v>0</v>
      </c>
      <c r="Q103" s="183">
        <v>2500</v>
      </c>
      <c r="R103" s="183">
        <f>0</f>
        <v>0</v>
      </c>
      <c r="S103" s="184">
        <f>SUM(B103:R103)</f>
        <v>2500</v>
      </c>
    </row>
    <row r="104" spans="1:19" ht="21" customHeight="1">
      <c r="A104" s="186">
        <v>551000</v>
      </c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79"/>
    </row>
    <row r="105" spans="1:19" ht="21" customHeight="1">
      <c r="A105" s="188">
        <v>510100</v>
      </c>
      <c r="B105" s="181">
        <v>0</v>
      </c>
      <c r="C105" s="181">
        <v>0</v>
      </c>
      <c r="D105" s="181">
        <v>0</v>
      </c>
      <c r="E105" s="181">
        <v>0</v>
      </c>
      <c r="F105" s="181">
        <v>0</v>
      </c>
      <c r="G105" s="181">
        <v>0</v>
      </c>
      <c r="H105" s="181">
        <v>0</v>
      </c>
      <c r="I105" s="181">
        <v>0</v>
      </c>
      <c r="J105" s="181">
        <v>0</v>
      </c>
      <c r="K105" s="181">
        <v>0</v>
      </c>
      <c r="L105" s="181">
        <v>0</v>
      </c>
      <c r="M105" s="181">
        <v>0</v>
      </c>
      <c r="N105" s="181">
        <v>0</v>
      </c>
      <c r="O105" s="181">
        <v>0</v>
      </c>
      <c r="P105" s="181">
        <v>0</v>
      </c>
      <c r="Q105" s="181">
        <v>0</v>
      </c>
      <c r="R105" s="181">
        <v>0</v>
      </c>
      <c r="S105" s="179">
        <f>SUM(B105:R105)</f>
        <v>0</v>
      </c>
    </row>
    <row r="106" spans="1:19">
      <c r="A106" s="182" t="s">
        <v>156</v>
      </c>
      <c r="B106" s="183">
        <f t="shared" ref="B106:E106" si="21">SUM(B105)</f>
        <v>0</v>
      </c>
      <c r="C106" s="183">
        <f t="shared" si="21"/>
        <v>0</v>
      </c>
      <c r="D106" s="183">
        <f t="shared" si="21"/>
        <v>0</v>
      </c>
      <c r="E106" s="183">
        <f t="shared" si="21"/>
        <v>0</v>
      </c>
      <c r="F106" s="183">
        <f t="shared" ref="F106" si="22">SUM(F105)</f>
        <v>0</v>
      </c>
      <c r="G106" s="183">
        <f t="shared" ref="G106:R106" si="23">SUM(G105)</f>
        <v>0</v>
      </c>
      <c r="H106" s="183">
        <f t="shared" si="23"/>
        <v>0</v>
      </c>
      <c r="I106" s="183">
        <f t="shared" si="23"/>
        <v>0</v>
      </c>
      <c r="J106" s="183">
        <f t="shared" si="23"/>
        <v>0</v>
      </c>
      <c r="K106" s="183">
        <f t="shared" si="23"/>
        <v>0</v>
      </c>
      <c r="L106" s="183">
        <f t="shared" si="23"/>
        <v>0</v>
      </c>
      <c r="M106" s="183">
        <f t="shared" si="23"/>
        <v>0</v>
      </c>
      <c r="N106" s="183">
        <f t="shared" si="23"/>
        <v>0</v>
      </c>
      <c r="O106" s="183">
        <f t="shared" si="23"/>
        <v>0</v>
      </c>
      <c r="P106" s="183">
        <f t="shared" si="23"/>
        <v>0</v>
      </c>
      <c r="Q106" s="183">
        <f t="shared" si="23"/>
        <v>0</v>
      </c>
      <c r="R106" s="183">
        <f t="shared" si="23"/>
        <v>0</v>
      </c>
      <c r="S106" s="179">
        <f>SUM(B106:R106)</f>
        <v>0</v>
      </c>
    </row>
    <row r="107" spans="1:19" s="189" customFormat="1">
      <c r="A107" s="182" t="s">
        <v>157</v>
      </c>
      <c r="B107" s="183">
        <v>0</v>
      </c>
      <c r="C107" s="183">
        <v>0</v>
      </c>
      <c r="D107" s="183">
        <f>0</f>
        <v>0</v>
      </c>
      <c r="E107" s="183">
        <v>0</v>
      </c>
      <c r="F107" s="183">
        <v>0</v>
      </c>
      <c r="G107" s="183">
        <v>0</v>
      </c>
      <c r="H107" s="183">
        <v>0</v>
      </c>
      <c r="I107" s="183">
        <f>0</f>
        <v>0</v>
      </c>
      <c r="J107" s="183">
        <f>0</f>
        <v>0</v>
      </c>
      <c r="K107" s="183">
        <v>0</v>
      </c>
      <c r="L107" s="183">
        <v>0</v>
      </c>
      <c r="M107" s="183">
        <f>0</f>
        <v>0</v>
      </c>
      <c r="N107" s="183">
        <f>0</f>
        <v>0</v>
      </c>
      <c r="O107" s="183">
        <v>0</v>
      </c>
      <c r="P107" s="183">
        <v>0</v>
      </c>
      <c r="Q107" s="183">
        <v>0</v>
      </c>
      <c r="R107" s="183">
        <f>0</f>
        <v>0</v>
      </c>
      <c r="S107" s="179">
        <f>SUM(B107:R107)</f>
        <v>0</v>
      </c>
    </row>
    <row r="108" spans="1:19" s="189" customFormat="1">
      <c r="A108" s="346"/>
      <c r="B108" s="347"/>
      <c r="C108" s="347"/>
      <c r="D108" s="347"/>
      <c r="E108" s="347"/>
      <c r="F108" s="347"/>
      <c r="G108" s="347"/>
      <c r="H108" s="347"/>
      <c r="I108" s="347"/>
      <c r="J108" s="347"/>
      <c r="K108" s="347"/>
      <c r="L108" s="347"/>
      <c r="M108" s="347"/>
      <c r="N108" s="347"/>
      <c r="O108" s="347"/>
      <c r="P108" s="347"/>
      <c r="Q108" s="347"/>
      <c r="R108" s="347"/>
      <c r="S108" s="349"/>
    </row>
    <row r="109" spans="1:19" s="189" customFormat="1">
      <c r="A109" s="190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2"/>
    </row>
    <row r="110" spans="1:19" s="189" customFormat="1">
      <c r="A110" s="190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2"/>
    </row>
    <row r="111" spans="1:19" s="189" customFormat="1">
      <c r="A111" s="190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2"/>
    </row>
    <row r="112" spans="1:19" s="189" customFormat="1">
      <c r="A112" s="190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2"/>
    </row>
    <row r="113" spans="1:21" s="189" customFormat="1">
      <c r="A113" s="190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2"/>
    </row>
    <row r="114" spans="1:21" s="189" customFormat="1">
      <c r="A114" s="190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2"/>
    </row>
    <row r="115" spans="1:21" ht="21" customHeight="1" thickBot="1">
      <c r="A115" s="433" t="s">
        <v>280</v>
      </c>
      <c r="B115" s="433"/>
      <c r="C115" s="433"/>
      <c r="D115" s="433"/>
      <c r="E115" s="433"/>
      <c r="F115" s="433"/>
      <c r="G115" s="433"/>
      <c r="H115" s="433"/>
      <c r="I115" s="433"/>
      <c r="J115" s="433"/>
      <c r="K115" s="433"/>
      <c r="L115" s="433"/>
      <c r="M115" s="433"/>
      <c r="N115" s="433"/>
      <c r="O115" s="433"/>
      <c r="P115" s="433"/>
      <c r="Q115" s="433"/>
      <c r="R115" s="433"/>
      <c r="S115" s="433"/>
    </row>
    <row r="116" spans="1:21" s="165" customFormat="1" ht="21.75" customHeight="1">
      <c r="A116" s="161" t="s">
        <v>121</v>
      </c>
      <c r="B116" s="434" t="s">
        <v>122</v>
      </c>
      <c r="C116" s="435"/>
      <c r="D116" s="436"/>
      <c r="E116" s="344" t="s">
        <v>123</v>
      </c>
      <c r="F116" s="434" t="s">
        <v>124</v>
      </c>
      <c r="G116" s="436"/>
      <c r="H116" s="162" t="s">
        <v>125</v>
      </c>
      <c r="I116" s="434" t="s">
        <v>126</v>
      </c>
      <c r="J116" s="436"/>
      <c r="K116" s="437" t="s">
        <v>127</v>
      </c>
      <c r="L116" s="438"/>
      <c r="M116" s="434" t="s">
        <v>128</v>
      </c>
      <c r="N116" s="435"/>
      <c r="O116" s="436"/>
      <c r="P116" s="163" t="s">
        <v>129</v>
      </c>
      <c r="Q116" s="163" t="s">
        <v>130</v>
      </c>
      <c r="R116" s="162" t="s">
        <v>131</v>
      </c>
      <c r="S116" s="164" t="s">
        <v>109</v>
      </c>
    </row>
    <row r="117" spans="1:21" s="165" customFormat="1" ht="22.5" thickBot="1">
      <c r="A117" s="166" t="s">
        <v>132</v>
      </c>
      <c r="B117" s="167" t="s">
        <v>133</v>
      </c>
      <c r="C117" s="168" t="s">
        <v>134</v>
      </c>
      <c r="D117" s="168" t="s">
        <v>135</v>
      </c>
      <c r="E117" s="169" t="s">
        <v>136</v>
      </c>
      <c r="F117" s="167" t="s">
        <v>167</v>
      </c>
      <c r="G117" s="167" t="s">
        <v>137</v>
      </c>
      <c r="H117" s="167" t="s">
        <v>138</v>
      </c>
      <c r="I117" s="169" t="s">
        <v>139</v>
      </c>
      <c r="J117" s="169" t="s">
        <v>140</v>
      </c>
      <c r="K117" s="167" t="s">
        <v>141</v>
      </c>
      <c r="L117" s="170" t="s">
        <v>168</v>
      </c>
      <c r="M117" s="168" t="s">
        <v>142</v>
      </c>
      <c r="N117" s="168" t="s">
        <v>143</v>
      </c>
      <c r="O117" s="345" t="s">
        <v>144</v>
      </c>
      <c r="P117" s="170" t="s">
        <v>145</v>
      </c>
      <c r="Q117" s="170" t="s">
        <v>146</v>
      </c>
      <c r="R117" s="169" t="s">
        <v>147</v>
      </c>
      <c r="S117" s="171"/>
    </row>
    <row r="118" spans="1:21" ht="21" customHeight="1">
      <c r="A118" s="186">
        <v>561000</v>
      </c>
      <c r="B118" s="187"/>
      <c r="C118" s="187"/>
      <c r="D118" s="184"/>
      <c r="E118" s="184"/>
      <c r="F118" s="179"/>
      <c r="G118" s="179"/>
      <c r="H118" s="184"/>
      <c r="I118" s="184"/>
      <c r="J118" s="183"/>
      <c r="K118" s="184"/>
      <c r="L118" s="179"/>
      <c r="M118" s="184"/>
      <c r="N118" s="184"/>
      <c r="O118" s="184"/>
      <c r="P118" s="179"/>
      <c r="Q118" s="184"/>
      <c r="R118" s="183"/>
      <c r="S118" s="179"/>
    </row>
    <row r="119" spans="1:21" ht="21" customHeight="1">
      <c r="A119" s="188">
        <v>610100</v>
      </c>
      <c r="B119" s="181">
        <v>0</v>
      </c>
      <c r="C119" s="181">
        <v>0</v>
      </c>
      <c r="D119" s="181">
        <v>0</v>
      </c>
      <c r="E119" s="181">
        <v>0</v>
      </c>
      <c r="F119" s="181">
        <v>0</v>
      </c>
      <c r="G119" s="181">
        <v>0</v>
      </c>
      <c r="H119" s="181">
        <v>0</v>
      </c>
      <c r="I119" s="181">
        <v>0</v>
      </c>
      <c r="J119" s="181">
        <v>0</v>
      </c>
      <c r="K119" s="181">
        <v>0</v>
      </c>
      <c r="L119" s="205">
        <v>0</v>
      </c>
      <c r="M119" s="181">
        <v>0</v>
      </c>
      <c r="N119" s="181">
        <v>0</v>
      </c>
      <c r="O119" s="181">
        <v>0</v>
      </c>
      <c r="P119" s="205">
        <v>0</v>
      </c>
      <c r="Q119" s="181">
        <v>0</v>
      </c>
      <c r="R119" s="181">
        <f>10000-10000</f>
        <v>0</v>
      </c>
      <c r="S119" s="179">
        <f>SUM(B119:R119)</f>
        <v>0</v>
      </c>
    </row>
    <row r="120" spans="1:21" ht="21" customHeight="1">
      <c r="A120" s="188">
        <v>610200</v>
      </c>
      <c r="B120" s="181">
        <v>0</v>
      </c>
      <c r="C120" s="181">
        <v>0</v>
      </c>
      <c r="D120" s="181">
        <v>0</v>
      </c>
      <c r="E120" s="181">
        <v>0</v>
      </c>
      <c r="F120" s="181">
        <v>0</v>
      </c>
      <c r="G120" s="181">
        <v>287000</v>
      </c>
      <c r="H120" s="181">
        <v>0</v>
      </c>
      <c r="I120" s="181">
        <v>0</v>
      </c>
      <c r="J120" s="181">
        <v>0</v>
      </c>
      <c r="K120" s="181">
        <v>0</v>
      </c>
      <c r="L120" s="205">
        <v>0</v>
      </c>
      <c r="M120" s="181">
        <v>0</v>
      </c>
      <c r="N120" s="181">
        <v>0</v>
      </c>
      <c r="O120" s="197">
        <v>-2000</v>
      </c>
      <c r="P120" s="205">
        <v>0</v>
      </c>
      <c r="Q120" s="181">
        <v>0</v>
      </c>
      <c r="R120" s="181">
        <f>10000-10000</f>
        <v>0</v>
      </c>
      <c r="S120" s="179">
        <f>SUM(B120:R120)</f>
        <v>285000</v>
      </c>
    </row>
    <row r="121" spans="1:21" ht="21" customHeight="1">
      <c r="A121" s="188">
        <v>610400</v>
      </c>
      <c r="B121" s="181">
        <v>0</v>
      </c>
      <c r="C121" s="181">
        <v>0</v>
      </c>
      <c r="D121" s="181">
        <v>0</v>
      </c>
      <c r="E121" s="181">
        <v>0</v>
      </c>
      <c r="F121" s="181">
        <v>0</v>
      </c>
      <c r="G121" s="181">
        <v>0</v>
      </c>
      <c r="H121" s="181">
        <v>0</v>
      </c>
      <c r="I121" s="181">
        <v>0</v>
      </c>
      <c r="J121" s="181">
        <v>0</v>
      </c>
      <c r="K121" s="181">
        <v>0</v>
      </c>
      <c r="L121" s="205">
        <v>0</v>
      </c>
      <c r="M121" s="181">
        <v>0</v>
      </c>
      <c r="N121" s="181">
        <v>0</v>
      </c>
      <c r="O121" s="181">
        <v>0</v>
      </c>
      <c r="P121" s="205">
        <v>0</v>
      </c>
      <c r="Q121" s="181">
        <v>0</v>
      </c>
      <c r="R121" s="181">
        <f>10000-10000</f>
        <v>0</v>
      </c>
      <c r="S121" s="179">
        <f>SUM(B121:R121)</f>
        <v>0</v>
      </c>
    </row>
    <row r="122" spans="1:21">
      <c r="A122" s="182" t="s">
        <v>156</v>
      </c>
      <c r="B122" s="183">
        <f>SUM(B119:B121)</f>
        <v>0</v>
      </c>
      <c r="C122" s="183">
        <f t="shared" ref="C122:R122" si="24">SUM(C119:C121)</f>
        <v>0</v>
      </c>
      <c r="D122" s="183">
        <f t="shared" si="24"/>
        <v>0</v>
      </c>
      <c r="E122" s="183">
        <f t="shared" si="24"/>
        <v>0</v>
      </c>
      <c r="F122" s="183">
        <f t="shared" si="24"/>
        <v>0</v>
      </c>
      <c r="G122" s="183">
        <f t="shared" si="24"/>
        <v>287000</v>
      </c>
      <c r="H122" s="183">
        <f t="shared" si="24"/>
        <v>0</v>
      </c>
      <c r="I122" s="183">
        <f t="shared" si="24"/>
        <v>0</v>
      </c>
      <c r="J122" s="183">
        <f t="shared" si="24"/>
        <v>0</v>
      </c>
      <c r="K122" s="183">
        <f t="shared" si="24"/>
        <v>0</v>
      </c>
      <c r="L122" s="183">
        <f t="shared" si="24"/>
        <v>0</v>
      </c>
      <c r="M122" s="183">
        <f t="shared" si="24"/>
        <v>0</v>
      </c>
      <c r="N122" s="183">
        <f t="shared" si="24"/>
        <v>0</v>
      </c>
      <c r="O122" s="198">
        <f t="shared" si="24"/>
        <v>-2000</v>
      </c>
      <c r="P122" s="183">
        <f t="shared" si="24"/>
        <v>0</v>
      </c>
      <c r="Q122" s="183">
        <f t="shared" si="24"/>
        <v>0</v>
      </c>
      <c r="R122" s="183">
        <f t="shared" si="24"/>
        <v>0</v>
      </c>
      <c r="S122" s="183">
        <f>SUM(S119:S121)</f>
        <v>285000</v>
      </c>
    </row>
    <row r="123" spans="1:21" s="189" customFormat="1">
      <c r="A123" s="182" t="s">
        <v>157</v>
      </c>
      <c r="B123" s="183">
        <v>0</v>
      </c>
      <c r="C123" s="183">
        <v>0</v>
      </c>
      <c r="D123" s="183">
        <f>0</f>
        <v>0</v>
      </c>
      <c r="E123" s="183">
        <v>0</v>
      </c>
      <c r="F123" s="183">
        <v>0</v>
      </c>
      <c r="G123" s="183">
        <v>287000</v>
      </c>
      <c r="H123" s="183">
        <v>0</v>
      </c>
      <c r="I123" s="183">
        <f>0</f>
        <v>0</v>
      </c>
      <c r="J123" s="183">
        <v>0</v>
      </c>
      <c r="K123" s="183">
        <v>0</v>
      </c>
      <c r="L123" s="183">
        <v>0</v>
      </c>
      <c r="M123" s="183">
        <f>0</f>
        <v>0</v>
      </c>
      <c r="N123" s="183">
        <f>20000-20000</f>
        <v>0</v>
      </c>
      <c r="O123" s="183">
        <f>3000+(-2000)</f>
        <v>1000</v>
      </c>
      <c r="P123" s="183">
        <v>0</v>
      </c>
      <c r="Q123" s="183">
        <v>0</v>
      </c>
      <c r="R123" s="183">
        <f>0</f>
        <v>0</v>
      </c>
      <c r="S123" s="184">
        <f>SUM(B123:R123)</f>
        <v>288000</v>
      </c>
    </row>
    <row r="124" spans="1:21">
      <c r="A124" s="182" t="s">
        <v>164</v>
      </c>
      <c r="B124" s="184">
        <f t="shared" ref="B124:R124" si="25">SUM(B16+B24+B33+B48+B55+B70+B85+B96+B102+B106+B122)</f>
        <v>753456.44</v>
      </c>
      <c r="C124" s="184">
        <f t="shared" si="25"/>
        <v>0</v>
      </c>
      <c r="D124" s="184">
        <f t="shared" si="25"/>
        <v>143660</v>
      </c>
      <c r="E124" s="184">
        <f t="shared" si="25"/>
        <v>0</v>
      </c>
      <c r="F124" s="184">
        <f t="shared" si="25"/>
        <v>174095</v>
      </c>
      <c r="G124" s="184">
        <f t="shared" si="25"/>
        <v>671000</v>
      </c>
      <c r="H124" s="184">
        <f t="shared" si="25"/>
        <v>0</v>
      </c>
      <c r="I124" s="184">
        <f t="shared" si="25"/>
        <v>173757</v>
      </c>
      <c r="J124" s="184">
        <f t="shared" si="25"/>
        <v>0</v>
      </c>
      <c r="K124" s="184">
        <f t="shared" si="25"/>
        <v>0</v>
      </c>
      <c r="L124" s="184">
        <f t="shared" si="25"/>
        <v>0</v>
      </c>
      <c r="M124" s="184">
        <f t="shared" si="25"/>
        <v>0</v>
      </c>
      <c r="N124" s="184">
        <f t="shared" si="25"/>
        <v>0</v>
      </c>
      <c r="O124" s="359">
        <f t="shared" si="25"/>
        <v>-2000</v>
      </c>
      <c r="P124" s="184">
        <f t="shared" si="25"/>
        <v>3420</v>
      </c>
      <c r="Q124" s="184">
        <f t="shared" si="25"/>
        <v>56058.080000000002</v>
      </c>
      <c r="R124" s="184">
        <f t="shared" si="25"/>
        <v>2018569.21</v>
      </c>
      <c r="S124" s="184">
        <f>SUM(B124:R124)</f>
        <v>3992015.73</v>
      </c>
    </row>
    <row r="125" spans="1:21" s="189" customFormat="1">
      <c r="A125" s="182" t="s">
        <v>165</v>
      </c>
      <c r="B125" s="184">
        <f t="shared" ref="B125:R125" si="26">SUM(B17+B25+B34+B49+B56+B71+B86+B97+B103+B107+B123)</f>
        <v>1274201.02</v>
      </c>
      <c r="C125" s="184">
        <f t="shared" si="26"/>
        <v>0</v>
      </c>
      <c r="D125" s="184">
        <f t="shared" si="26"/>
        <v>290670</v>
      </c>
      <c r="E125" s="184">
        <f t="shared" si="26"/>
        <v>0</v>
      </c>
      <c r="F125" s="184">
        <f t="shared" si="26"/>
        <v>322150</v>
      </c>
      <c r="G125" s="184">
        <f t="shared" si="26"/>
        <v>671000</v>
      </c>
      <c r="H125" s="184">
        <f t="shared" si="26"/>
        <v>0</v>
      </c>
      <c r="I125" s="184">
        <f t="shared" si="26"/>
        <v>320932</v>
      </c>
      <c r="J125" s="184">
        <f t="shared" si="26"/>
        <v>0</v>
      </c>
      <c r="K125" s="184">
        <f t="shared" si="26"/>
        <v>0</v>
      </c>
      <c r="L125" s="184">
        <f t="shared" si="26"/>
        <v>0</v>
      </c>
      <c r="M125" s="184">
        <f t="shared" si="26"/>
        <v>0</v>
      </c>
      <c r="N125" s="184">
        <f t="shared" si="26"/>
        <v>0</v>
      </c>
      <c r="O125" s="184">
        <f t="shared" si="26"/>
        <v>1000</v>
      </c>
      <c r="P125" s="184">
        <f t="shared" si="26"/>
        <v>3420</v>
      </c>
      <c r="Q125" s="184">
        <f t="shared" si="26"/>
        <v>90539.450000000012</v>
      </c>
      <c r="R125" s="184">
        <f t="shared" si="26"/>
        <v>2023665.0999999999</v>
      </c>
      <c r="S125" s="184">
        <f>SUM(B125:R125)</f>
        <v>4997577.57</v>
      </c>
      <c r="U125" s="138"/>
    </row>
    <row r="126" spans="1:21" s="189" customFormat="1">
      <c r="A126" s="190"/>
      <c r="B126" s="309"/>
      <c r="C126" s="309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  <c r="Q126" s="309"/>
      <c r="R126" s="309"/>
      <c r="S126" s="309"/>
      <c r="U126" s="138"/>
    </row>
    <row r="127" spans="1:21" s="189" customFormat="1">
      <c r="A127" s="190"/>
      <c r="B127" s="309"/>
      <c r="C127" s="309"/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P127" s="309"/>
      <c r="Q127" s="309"/>
      <c r="R127" s="309"/>
      <c r="S127" s="309"/>
      <c r="U127" s="138"/>
    </row>
    <row r="128" spans="1:21" s="189" customFormat="1">
      <c r="A128" s="190"/>
      <c r="B128" s="309"/>
      <c r="C128" s="309"/>
      <c r="D128" s="309"/>
      <c r="E128" s="309"/>
      <c r="F128" s="309"/>
      <c r="G128" s="309"/>
      <c r="H128" s="309"/>
      <c r="I128" s="309"/>
      <c r="J128" s="309"/>
      <c r="K128" s="309"/>
      <c r="L128" s="309"/>
      <c r="M128" s="309"/>
      <c r="N128" s="309"/>
      <c r="O128" s="309"/>
      <c r="P128" s="309"/>
      <c r="Q128" s="309"/>
      <c r="R128" s="309"/>
      <c r="S128" s="309"/>
      <c r="U128" s="138"/>
    </row>
    <row r="129" spans="1:19" s="189" customFormat="1" ht="21" customHeight="1">
      <c r="A129" s="200"/>
      <c r="B129" s="201"/>
      <c r="C129" s="201"/>
      <c r="D129" s="308"/>
      <c r="E129" s="308"/>
      <c r="F129" s="308"/>
      <c r="G129" s="308"/>
      <c r="H129" s="308"/>
      <c r="I129" s="308"/>
      <c r="J129" s="308"/>
      <c r="K129" s="308"/>
      <c r="L129" s="308"/>
      <c r="M129" s="201"/>
      <c r="N129" s="201"/>
      <c r="O129" s="201"/>
      <c r="P129" s="201"/>
      <c r="Q129" s="201"/>
      <c r="R129" s="201"/>
      <c r="S129" s="204"/>
    </row>
    <row r="130" spans="1:19" s="189" customFormat="1" ht="21" customHeight="1">
      <c r="A130" s="200"/>
      <c r="B130" s="191"/>
      <c r="C130" s="191"/>
      <c r="D130" s="442" t="s">
        <v>158</v>
      </c>
      <c r="E130" s="442"/>
      <c r="F130" s="442"/>
      <c r="G130" s="442"/>
      <c r="H130" s="442"/>
      <c r="I130" s="442" t="s">
        <v>159</v>
      </c>
      <c r="J130" s="442"/>
      <c r="K130" s="442"/>
      <c r="L130" s="442"/>
      <c r="M130" s="442"/>
      <c r="N130" s="442"/>
      <c r="O130" s="191"/>
      <c r="P130" s="191"/>
      <c r="Q130" s="191"/>
      <c r="R130" s="191"/>
      <c r="S130" s="192"/>
    </row>
    <row r="131" spans="1:19" s="189" customFormat="1">
      <c r="A131" s="200"/>
      <c r="B131" s="191"/>
      <c r="C131" s="191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191"/>
      <c r="P131" s="191"/>
      <c r="Q131" s="191"/>
      <c r="R131" s="191"/>
      <c r="S131" s="192"/>
    </row>
    <row r="132" spans="1:19" s="189" customFormat="1">
      <c r="A132" s="200"/>
      <c r="B132" s="201"/>
      <c r="C132" s="201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01"/>
      <c r="O132" s="201"/>
      <c r="P132" s="201"/>
      <c r="Q132" s="201"/>
      <c r="R132" s="201"/>
      <c r="S132" s="204"/>
    </row>
    <row r="133" spans="1:19" s="189" customFormat="1" ht="21" customHeight="1">
      <c r="A133" s="200"/>
      <c r="B133" s="201"/>
      <c r="C133" s="201"/>
      <c r="D133" s="442" t="s">
        <v>160</v>
      </c>
      <c r="E133" s="442"/>
      <c r="F133" s="442"/>
      <c r="G133" s="442"/>
      <c r="H133" s="442"/>
      <c r="I133" s="442" t="s">
        <v>42</v>
      </c>
      <c r="J133" s="442"/>
      <c r="K133" s="442"/>
      <c r="L133" s="442"/>
      <c r="M133" s="442"/>
      <c r="N133" s="442"/>
      <c r="O133" s="201"/>
      <c r="P133" s="201"/>
      <c r="Q133" s="201"/>
      <c r="R133" s="201"/>
      <c r="S133" s="204"/>
    </row>
    <row r="134" spans="1:19" s="189" customFormat="1" ht="21" customHeight="1">
      <c r="A134" s="200"/>
      <c r="B134" s="201"/>
      <c r="C134" s="201"/>
      <c r="D134" s="442" t="s">
        <v>161</v>
      </c>
      <c r="E134" s="442"/>
      <c r="F134" s="442"/>
      <c r="G134" s="442"/>
      <c r="H134" s="442"/>
      <c r="I134" s="442" t="s">
        <v>60</v>
      </c>
      <c r="J134" s="442"/>
      <c r="K134" s="442"/>
      <c r="L134" s="442"/>
      <c r="M134" s="442"/>
      <c r="N134" s="442"/>
      <c r="O134" s="201"/>
      <c r="P134" s="201"/>
      <c r="Q134" s="201"/>
      <c r="R134" s="201"/>
      <c r="S134" s="204"/>
    </row>
  </sheetData>
  <mergeCells count="32">
    <mergeCell ref="D130:H130"/>
    <mergeCell ref="I130:N130"/>
    <mergeCell ref="D133:H133"/>
    <mergeCell ref="I133:N133"/>
    <mergeCell ref="D134:H134"/>
    <mergeCell ref="I134:N134"/>
    <mergeCell ref="A1:S1"/>
    <mergeCell ref="A2:S2"/>
    <mergeCell ref="A3:S3"/>
    <mergeCell ref="B4:D4"/>
    <mergeCell ref="F4:G4"/>
    <mergeCell ref="I4:J4"/>
    <mergeCell ref="K4:L4"/>
    <mergeCell ref="M4:O4"/>
    <mergeCell ref="A40:S40"/>
    <mergeCell ref="B41:D41"/>
    <mergeCell ref="F41:G41"/>
    <mergeCell ref="I41:J41"/>
    <mergeCell ref="K41:L41"/>
    <mergeCell ref="M41:O41"/>
    <mergeCell ref="A77:S77"/>
    <mergeCell ref="B78:D78"/>
    <mergeCell ref="F78:G78"/>
    <mergeCell ref="I78:J78"/>
    <mergeCell ref="K78:L78"/>
    <mergeCell ref="M78:O78"/>
    <mergeCell ref="A115:S115"/>
    <mergeCell ref="B116:D116"/>
    <mergeCell ref="F116:G116"/>
    <mergeCell ref="I116:J116"/>
    <mergeCell ref="K116:L116"/>
    <mergeCell ref="M116:O116"/>
  </mergeCells>
  <pageMargins left="0.39370078740157483" right="0" top="0" bottom="3.937007874015748E-2" header="0.27559055118110237" footer="0.27559055118110237"/>
  <pageSetup paperSize="9" scale="70" orientation="landscape" horizontalDpi="180" verticalDpi="18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SheetLayoutView="100" workbookViewId="0">
      <selection activeCell="E14" sqref="E14"/>
    </sheetView>
  </sheetViews>
  <sheetFormatPr defaultRowHeight="21.75"/>
  <cols>
    <col min="1" max="1" width="13" style="250" bestFit="1" customWidth="1"/>
    <col min="2" max="2" width="11.25" style="250" customWidth="1"/>
    <col min="3" max="3" width="9" style="250" customWidth="1"/>
    <col min="4" max="4" width="11.25" style="250" customWidth="1"/>
    <col min="5" max="5" width="7.125" style="250" customWidth="1"/>
    <col min="6" max="6" width="9" style="250" customWidth="1"/>
    <col min="7" max="8" width="11.25" style="250" customWidth="1"/>
    <col min="9" max="9" width="9.875" style="250" customWidth="1"/>
    <col min="10" max="10" width="9" style="250" customWidth="1"/>
    <col min="11" max="12" width="11.25" style="250" customWidth="1"/>
    <col min="13" max="14" width="9" style="250" customWidth="1"/>
    <col min="15" max="16" width="9.875" style="250" customWidth="1"/>
    <col min="17" max="17" width="9" style="250" customWidth="1"/>
    <col min="18" max="20" width="5.25" style="250" customWidth="1"/>
    <col min="21" max="21" width="12.125" style="250" bestFit="1" customWidth="1"/>
    <col min="22" max="22" width="11.75" style="250" bestFit="1" customWidth="1"/>
    <col min="23" max="260" width="9" style="250"/>
    <col min="261" max="261" width="18.75" style="250" customWidth="1"/>
    <col min="262" max="264" width="9.75" style="250" customWidth="1"/>
    <col min="265" max="265" width="8.625" style="250" customWidth="1"/>
    <col min="266" max="266" width="9.75" style="250" customWidth="1"/>
    <col min="267" max="267" width="8.625" style="250" customWidth="1"/>
    <col min="268" max="268" width="7.875" style="250" customWidth="1"/>
    <col min="269" max="270" width="9.75" style="250" customWidth="1"/>
    <col min="271" max="271" width="7.875" style="250" customWidth="1"/>
    <col min="272" max="272" width="8.625" style="250" customWidth="1"/>
    <col min="273" max="273" width="8.625" style="250" bestFit="1" customWidth="1"/>
    <col min="274" max="274" width="8.75" style="250" bestFit="1" customWidth="1"/>
    <col min="275" max="276" width="8.625" style="250" bestFit="1" customWidth="1"/>
    <col min="277" max="277" width="9.75" style="250" bestFit="1" customWidth="1"/>
    <col min="278" max="278" width="10.5" style="250" bestFit="1" customWidth="1"/>
    <col min="279" max="516" width="9" style="250"/>
    <col min="517" max="517" width="18.75" style="250" customWidth="1"/>
    <col min="518" max="520" width="9.75" style="250" customWidth="1"/>
    <col min="521" max="521" width="8.625" style="250" customWidth="1"/>
    <col min="522" max="522" width="9.75" style="250" customWidth="1"/>
    <col min="523" max="523" width="8.625" style="250" customWidth="1"/>
    <col min="524" max="524" width="7.875" style="250" customWidth="1"/>
    <col min="525" max="526" width="9.75" style="250" customWidth="1"/>
    <col min="527" max="527" width="7.875" style="250" customWidth="1"/>
    <col min="528" max="528" width="8.625" style="250" customWidth="1"/>
    <col min="529" max="529" width="8.625" style="250" bestFit="1" customWidth="1"/>
    <col min="530" max="530" width="8.75" style="250" bestFit="1" customWidth="1"/>
    <col min="531" max="532" width="8.625" style="250" bestFit="1" customWidth="1"/>
    <col min="533" max="533" width="9.75" style="250" bestFit="1" customWidth="1"/>
    <col min="534" max="534" width="10.5" style="250" bestFit="1" customWidth="1"/>
    <col min="535" max="772" width="9" style="250"/>
    <col min="773" max="773" width="18.75" style="250" customWidth="1"/>
    <col min="774" max="776" width="9.75" style="250" customWidth="1"/>
    <col min="777" max="777" width="8.625" style="250" customWidth="1"/>
    <col min="778" max="778" width="9.75" style="250" customWidth="1"/>
    <col min="779" max="779" width="8.625" style="250" customWidth="1"/>
    <col min="780" max="780" width="7.875" style="250" customWidth="1"/>
    <col min="781" max="782" width="9.75" style="250" customWidth="1"/>
    <col min="783" max="783" width="7.875" style="250" customWidth="1"/>
    <col min="784" max="784" width="8.625" style="250" customWidth="1"/>
    <col min="785" max="785" width="8.625" style="250" bestFit="1" customWidth="1"/>
    <col min="786" max="786" width="8.75" style="250" bestFit="1" customWidth="1"/>
    <col min="787" max="788" width="8.625" style="250" bestFit="1" customWidth="1"/>
    <col min="789" max="789" width="9.75" style="250" bestFit="1" customWidth="1"/>
    <col min="790" max="790" width="10.5" style="250" bestFit="1" customWidth="1"/>
    <col min="791" max="1028" width="9" style="250"/>
    <col min="1029" max="1029" width="18.75" style="250" customWidth="1"/>
    <col min="1030" max="1032" width="9.75" style="250" customWidth="1"/>
    <col min="1033" max="1033" width="8.625" style="250" customWidth="1"/>
    <col min="1034" max="1034" width="9.75" style="250" customWidth="1"/>
    <col min="1035" max="1035" width="8.625" style="250" customWidth="1"/>
    <col min="1036" max="1036" width="7.875" style="250" customWidth="1"/>
    <col min="1037" max="1038" width="9.75" style="250" customWidth="1"/>
    <col min="1039" max="1039" width="7.875" style="250" customWidth="1"/>
    <col min="1040" max="1040" width="8.625" style="250" customWidth="1"/>
    <col min="1041" max="1041" width="8.625" style="250" bestFit="1" customWidth="1"/>
    <col min="1042" max="1042" width="8.75" style="250" bestFit="1" customWidth="1"/>
    <col min="1043" max="1044" width="8.625" style="250" bestFit="1" customWidth="1"/>
    <col min="1045" max="1045" width="9.75" style="250" bestFit="1" customWidth="1"/>
    <col min="1046" max="1046" width="10.5" style="250" bestFit="1" customWidth="1"/>
    <col min="1047" max="1284" width="9" style="250"/>
    <col min="1285" max="1285" width="18.75" style="250" customWidth="1"/>
    <col min="1286" max="1288" width="9.75" style="250" customWidth="1"/>
    <col min="1289" max="1289" width="8.625" style="250" customWidth="1"/>
    <col min="1290" max="1290" width="9.75" style="250" customWidth="1"/>
    <col min="1291" max="1291" width="8.625" style="250" customWidth="1"/>
    <col min="1292" max="1292" width="7.875" style="250" customWidth="1"/>
    <col min="1293" max="1294" width="9.75" style="250" customWidth="1"/>
    <col min="1295" max="1295" width="7.875" style="250" customWidth="1"/>
    <col min="1296" max="1296" width="8.625" style="250" customWidth="1"/>
    <col min="1297" max="1297" width="8.625" style="250" bestFit="1" customWidth="1"/>
    <col min="1298" max="1298" width="8.75" style="250" bestFit="1" customWidth="1"/>
    <col min="1299" max="1300" width="8.625" style="250" bestFit="1" customWidth="1"/>
    <col min="1301" max="1301" width="9.75" style="250" bestFit="1" customWidth="1"/>
    <col min="1302" max="1302" width="10.5" style="250" bestFit="1" customWidth="1"/>
    <col min="1303" max="1540" width="9" style="250"/>
    <col min="1541" max="1541" width="18.75" style="250" customWidth="1"/>
    <col min="1542" max="1544" width="9.75" style="250" customWidth="1"/>
    <col min="1545" max="1545" width="8.625" style="250" customWidth="1"/>
    <col min="1546" max="1546" width="9.75" style="250" customWidth="1"/>
    <col min="1547" max="1547" width="8.625" style="250" customWidth="1"/>
    <col min="1548" max="1548" width="7.875" style="250" customWidth="1"/>
    <col min="1549" max="1550" width="9.75" style="250" customWidth="1"/>
    <col min="1551" max="1551" width="7.875" style="250" customWidth="1"/>
    <col min="1552" max="1552" width="8.625" style="250" customWidth="1"/>
    <col min="1553" max="1553" width="8.625" style="250" bestFit="1" customWidth="1"/>
    <col min="1554" max="1554" width="8.75" style="250" bestFit="1" customWidth="1"/>
    <col min="1555" max="1556" width="8.625" style="250" bestFit="1" customWidth="1"/>
    <col min="1557" max="1557" width="9.75" style="250" bestFit="1" customWidth="1"/>
    <col min="1558" max="1558" width="10.5" style="250" bestFit="1" customWidth="1"/>
    <col min="1559" max="1796" width="9" style="250"/>
    <col min="1797" max="1797" width="18.75" style="250" customWidth="1"/>
    <col min="1798" max="1800" width="9.75" style="250" customWidth="1"/>
    <col min="1801" max="1801" width="8.625" style="250" customWidth="1"/>
    <col min="1802" max="1802" width="9.75" style="250" customWidth="1"/>
    <col min="1803" max="1803" width="8.625" style="250" customWidth="1"/>
    <col min="1804" max="1804" width="7.875" style="250" customWidth="1"/>
    <col min="1805" max="1806" width="9.75" style="250" customWidth="1"/>
    <col min="1807" max="1807" width="7.875" style="250" customWidth="1"/>
    <col min="1808" max="1808" width="8.625" style="250" customWidth="1"/>
    <col min="1809" max="1809" width="8.625" style="250" bestFit="1" customWidth="1"/>
    <col min="1810" max="1810" width="8.75" style="250" bestFit="1" customWidth="1"/>
    <col min="1811" max="1812" width="8.625" style="250" bestFit="1" customWidth="1"/>
    <col min="1813" max="1813" width="9.75" style="250" bestFit="1" customWidth="1"/>
    <col min="1814" max="1814" width="10.5" style="250" bestFit="1" customWidth="1"/>
    <col min="1815" max="2052" width="9" style="250"/>
    <col min="2053" max="2053" width="18.75" style="250" customWidth="1"/>
    <col min="2054" max="2056" width="9.75" style="250" customWidth="1"/>
    <col min="2057" max="2057" width="8.625" style="250" customWidth="1"/>
    <col min="2058" max="2058" width="9.75" style="250" customWidth="1"/>
    <col min="2059" max="2059" width="8.625" style="250" customWidth="1"/>
    <col min="2060" max="2060" width="7.875" style="250" customWidth="1"/>
    <col min="2061" max="2062" width="9.75" style="250" customWidth="1"/>
    <col min="2063" max="2063" width="7.875" style="250" customWidth="1"/>
    <col min="2064" max="2064" width="8.625" style="250" customWidth="1"/>
    <col min="2065" max="2065" width="8.625" style="250" bestFit="1" customWidth="1"/>
    <col min="2066" max="2066" width="8.75" style="250" bestFit="1" customWidth="1"/>
    <col min="2067" max="2068" width="8.625" style="250" bestFit="1" customWidth="1"/>
    <col min="2069" max="2069" width="9.75" style="250" bestFit="1" customWidth="1"/>
    <col min="2070" max="2070" width="10.5" style="250" bestFit="1" customWidth="1"/>
    <col min="2071" max="2308" width="9" style="250"/>
    <col min="2309" max="2309" width="18.75" style="250" customWidth="1"/>
    <col min="2310" max="2312" width="9.75" style="250" customWidth="1"/>
    <col min="2313" max="2313" width="8.625" style="250" customWidth="1"/>
    <col min="2314" max="2314" width="9.75" style="250" customWidth="1"/>
    <col min="2315" max="2315" width="8.625" style="250" customWidth="1"/>
    <col min="2316" max="2316" width="7.875" style="250" customWidth="1"/>
    <col min="2317" max="2318" width="9.75" style="250" customWidth="1"/>
    <col min="2319" max="2319" width="7.875" style="250" customWidth="1"/>
    <col min="2320" max="2320" width="8.625" style="250" customWidth="1"/>
    <col min="2321" max="2321" width="8.625" style="250" bestFit="1" customWidth="1"/>
    <col min="2322" max="2322" width="8.75" style="250" bestFit="1" customWidth="1"/>
    <col min="2323" max="2324" width="8.625" style="250" bestFit="1" customWidth="1"/>
    <col min="2325" max="2325" width="9.75" style="250" bestFit="1" customWidth="1"/>
    <col min="2326" max="2326" width="10.5" style="250" bestFit="1" customWidth="1"/>
    <col min="2327" max="2564" width="9" style="250"/>
    <col min="2565" max="2565" width="18.75" style="250" customWidth="1"/>
    <col min="2566" max="2568" width="9.75" style="250" customWidth="1"/>
    <col min="2569" max="2569" width="8.625" style="250" customWidth="1"/>
    <col min="2570" max="2570" width="9.75" style="250" customWidth="1"/>
    <col min="2571" max="2571" width="8.625" style="250" customWidth="1"/>
    <col min="2572" max="2572" width="7.875" style="250" customWidth="1"/>
    <col min="2573" max="2574" width="9.75" style="250" customWidth="1"/>
    <col min="2575" max="2575" width="7.875" style="250" customWidth="1"/>
    <col min="2576" max="2576" width="8.625" style="250" customWidth="1"/>
    <col min="2577" max="2577" width="8.625" style="250" bestFit="1" customWidth="1"/>
    <col min="2578" max="2578" width="8.75" style="250" bestFit="1" customWidth="1"/>
    <col min="2579" max="2580" width="8.625" style="250" bestFit="1" customWidth="1"/>
    <col min="2581" max="2581" width="9.75" style="250" bestFit="1" customWidth="1"/>
    <col min="2582" max="2582" width="10.5" style="250" bestFit="1" customWidth="1"/>
    <col min="2583" max="2820" width="9" style="250"/>
    <col min="2821" max="2821" width="18.75" style="250" customWidth="1"/>
    <col min="2822" max="2824" width="9.75" style="250" customWidth="1"/>
    <col min="2825" max="2825" width="8.625" style="250" customWidth="1"/>
    <col min="2826" max="2826" width="9.75" style="250" customWidth="1"/>
    <col min="2827" max="2827" width="8.625" style="250" customWidth="1"/>
    <col min="2828" max="2828" width="7.875" style="250" customWidth="1"/>
    <col min="2829" max="2830" width="9.75" style="250" customWidth="1"/>
    <col min="2831" max="2831" width="7.875" style="250" customWidth="1"/>
    <col min="2832" max="2832" width="8.625" style="250" customWidth="1"/>
    <col min="2833" max="2833" width="8.625" style="250" bestFit="1" customWidth="1"/>
    <col min="2834" max="2834" width="8.75" style="250" bestFit="1" customWidth="1"/>
    <col min="2835" max="2836" width="8.625" style="250" bestFit="1" customWidth="1"/>
    <col min="2837" max="2837" width="9.75" style="250" bestFit="1" customWidth="1"/>
    <col min="2838" max="2838" width="10.5" style="250" bestFit="1" customWidth="1"/>
    <col min="2839" max="3076" width="9" style="250"/>
    <col min="3077" max="3077" width="18.75" style="250" customWidth="1"/>
    <col min="3078" max="3080" width="9.75" style="250" customWidth="1"/>
    <col min="3081" max="3081" width="8.625" style="250" customWidth="1"/>
    <col min="3082" max="3082" width="9.75" style="250" customWidth="1"/>
    <col min="3083" max="3083" width="8.625" style="250" customWidth="1"/>
    <col min="3084" max="3084" width="7.875" style="250" customWidth="1"/>
    <col min="3085" max="3086" width="9.75" style="250" customWidth="1"/>
    <col min="3087" max="3087" width="7.875" style="250" customWidth="1"/>
    <col min="3088" max="3088" width="8.625" style="250" customWidth="1"/>
    <col min="3089" max="3089" width="8.625" style="250" bestFit="1" customWidth="1"/>
    <col min="3090" max="3090" width="8.75" style="250" bestFit="1" customWidth="1"/>
    <col min="3091" max="3092" width="8.625" style="250" bestFit="1" customWidth="1"/>
    <col min="3093" max="3093" width="9.75" style="250" bestFit="1" customWidth="1"/>
    <col min="3094" max="3094" width="10.5" style="250" bestFit="1" customWidth="1"/>
    <col min="3095" max="3332" width="9" style="250"/>
    <col min="3333" max="3333" width="18.75" style="250" customWidth="1"/>
    <col min="3334" max="3336" width="9.75" style="250" customWidth="1"/>
    <col min="3337" max="3337" width="8.625" style="250" customWidth="1"/>
    <col min="3338" max="3338" width="9.75" style="250" customWidth="1"/>
    <col min="3339" max="3339" width="8.625" style="250" customWidth="1"/>
    <col min="3340" max="3340" width="7.875" style="250" customWidth="1"/>
    <col min="3341" max="3342" width="9.75" style="250" customWidth="1"/>
    <col min="3343" max="3343" width="7.875" style="250" customWidth="1"/>
    <col min="3344" max="3344" width="8.625" style="250" customWidth="1"/>
    <col min="3345" max="3345" width="8.625" style="250" bestFit="1" customWidth="1"/>
    <col min="3346" max="3346" width="8.75" style="250" bestFit="1" customWidth="1"/>
    <col min="3347" max="3348" width="8.625" style="250" bestFit="1" customWidth="1"/>
    <col min="3349" max="3349" width="9.75" style="250" bestFit="1" customWidth="1"/>
    <col min="3350" max="3350" width="10.5" style="250" bestFit="1" customWidth="1"/>
    <col min="3351" max="3588" width="9" style="250"/>
    <col min="3589" max="3589" width="18.75" style="250" customWidth="1"/>
    <col min="3590" max="3592" width="9.75" style="250" customWidth="1"/>
    <col min="3593" max="3593" width="8.625" style="250" customWidth="1"/>
    <col min="3594" max="3594" width="9.75" style="250" customWidth="1"/>
    <col min="3595" max="3595" width="8.625" style="250" customWidth="1"/>
    <col min="3596" max="3596" width="7.875" style="250" customWidth="1"/>
    <col min="3597" max="3598" width="9.75" style="250" customWidth="1"/>
    <col min="3599" max="3599" width="7.875" style="250" customWidth="1"/>
    <col min="3600" max="3600" width="8.625" style="250" customWidth="1"/>
    <col min="3601" max="3601" width="8.625" style="250" bestFit="1" customWidth="1"/>
    <col min="3602" max="3602" width="8.75" style="250" bestFit="1" customWidth="1"/>
    <col min="3603" max="3604" width="8.625" style="250" bestFit="1" customWidth="1"/>
    <col min="3605" max="3605" width="9.75" style="250" bestFit="1" customWidth="1"/>
    <col min="3606" max="3606" width="10.5" style="250" bestFit="1" customWidth="1"/>
    <col min="3607" max="3844" width="9" style="250"/>
    <col min="3845" max="3845" width="18.75" style="250" customWidth="1"/>
    <col min="3846" max="3848" width="9.75" style="250" customWidth="1"/>
    <col min="3849" max="3849" width="8.625" style="250" customWidth="1"/>
    <col min="3850" max="3850" width="9.75" style="250" customWidth="1"/>
    <col min="3851" max="3851" width="8.625" style="250" customWidth="1"/>
    <col min="3852" max="3852" width="7.875" style="250" customWidth="1"/>
    <col min="3853" max="3854" width="9.75" style="250" customWidth="1"/>
    <col min="3855" max="3855" width="7.875" style="250" customWidth="1"/>
    <col min="3856" max="3856" width="8.625" style="250" customWidth="1"/>
    <col min="3857" max="3857" width="8.625" style="250" bestFit="1" customWidth="1"/>
    <col min="3858" max="3858" width="8.75" style="250" bestFit="1" customWidth="1"/>
    <col min="3859" max="3860" width="8.625" style="250" bestFit="1" customWidth="1"/>
    <col min="3861" max="3861" width="9.75" style="250" bestFit="1" customWidth="1"/>
    <col min="3862" max="3862" width="10.5" style="250" bestFit="1" customWidth="1"/>
    <col min="3863" max="4100" width="9" style="250"/>
    <col min="4101" max="4101" width="18.75" style="250" customWidth="1"/>
    <col min="4102" max="4104" width="9.75" style="250" customWidth="1"/>
    <col min="4105" max="4105" width="8.625" style="250" customWidth="1"/>
    <col min="4106" max="4106" width="9.75" style="250" customWidth="1"/>
    <col min="4107" max="4107" width="8.625" style="250" customWidth="1"/>
    <col min="4108" max="4108" width="7.875" style="250" customWidth="1"/>
    <col min="4109" max="4110" width="9.75" style="250" customWidth="1"/>
    <col min="4111" max="4111" width="7.875" style="250" customWidth="1"/>
    <col min="4112" max="4112" width="8.625" style="250" customWidth="1"/>
    <col min="4113" max="4113" width="8.625" style="250" bestFit="1" customWidth="1"/>
    <col min="4114" max="4114" width="8.75" style="250" bestFit="1" customWidth="1"/>
    <col min="4115" max="4116" width="8.625" style="250" bestFit="1" customWidth="1"/>
    <col min="4117" max="4117" width="9.75" style="250" bestFit="1" customWidth="1"/>
    <col min="4118" max="4118" width="10.5" style="250" bestFit="1" customWidth="1"/>
    <col min="4119" max="4356" width="9" style="250"/>
    <col min="4357" max="4357" width="18.75" style="250" customWidth="1"/>
    <col min="4358" max="4360" width="9.75" style="250" customWidth="1"/>
    <col min="4361" max="4361" width="8.625" style="250" customWidth="1"/>
    <col min="4362" max="4362" width="9.75" style="250" customWidth="1"/>
    <col min="4363" max="4363" width="8.625" style="250" customWidth="1"/>
    <col min="4364" max="4364" width="7.875" style="250" customWidth="1"/>
    <col min="4365" max="4366" width="9.75" style="250" customWidth="1"/>
    <col min="4367" max="4367" width="7.875" style="250" customWidth="1"/>
    <col min="4368" max="4368" width="8.625" style="250" customWidth="1"/>
    <col min="4369" max="4369" width="8.625" style="250" bestFit="1" customWidth="1"/>
    <col min="4370" max="4370" width="8.75" style="250" bestFit="1" customWidth="1"/>
    <col min="4371" max="4372" width="8.625" style="250" bestFit="1" customWidth="1"/>
    <col min="4373" max="4373" width="9.75" style="250" bestFit="1" customWidth="1"/>
    <col min="4374" max="4374" width="10.5" style="250" bestFit="1" customWidth="1"/>
    <col min="4375" max="4612" width="9" style="250"/>
    <col min="4613" max="4613" width="18.75" style="250" customWidth="1"/>
    <col min="4614" max="4616" width="9.75" style="250" customWidth="1"/>
    <col min="4617" max="4617" width="8.625" style="250" customWidth="1"/>
    <col min="4618" max="4618" width="9.75" style="250" customWidth="1"/>
    <col min="4619" max="4619" width="8.625" style="250" customWidth="1"/>
    <col min="4620" max="4620" width="7.875" style="250" customWidth="1"/>
    <col min="4621" max="4622" width="9.75" style="250" customWidth="1"/>
    <col min="4623" max="4623" width="7.875" style="250" customWidth="1"/>
    <col min="4624" max="4624" width="8.625" style="250" customWidth="1"/>
    <col min="4625" max="4625" width="8.625" style="250" bestFit="1" customWidth="1"/>
    <col min="4626" max="4626" width="8.75" style="250" bestFit="1" customWidth="1"/>
    <col min="4627" max="4628" width="8.625" style="250" bestFit="1" customWidth="1"/>
    <col min="4629" max="4629" width="9.75" style="250" bestFit="1" customWidth="1"/>
    <col min="4630" max="4630" width="10.5" style="250" bestFit="1" customWidth="1"/>
    <col min="4631" max="4868" width="9" style="250"/>
    <col min="4869" max="4869" width="18.75" style="250" customWidth="1"/>
    <col min="4870" max="4872" width="9.75" style="250" customWidth="1"/>
    <col min="4873" max="4873" width="8.625" style="250" customWidth="1"/>
    <col min="4874" max="4874" width="9.75" style="250" customWidth="1"/>
    <col min="4875" max="4875" width="8.625" style="250" customWidth="1"/>
    <col min="4876" max="4876" width="7.875" style="250" customWidth="1"/>
    <col min="4877" max="4878" width="9.75" style="250" customWidth="1"/>
    <col min="4879" max="4879" width="7.875" style="250" customWidth="1"/>
    <col min="4880" max="4880" width="8.625" style="250" customWidth="1"/>
    <col min="4881" max="4881" width="8.625" style="250" bestFit="1" customWidth="1"/>
    <col min="4882" max="4882" width="8.75" style="250" bestFit="1" customWidth="1"/>
    <col min="4883" max="4884" width="8.625" style="250" bestFit="1" customWidth="1"/>
    <col min="4885" max="4885" width="9.75" style="250" bestFit="1" customWidth="1"/>
    <col min="4886" max="4886" width="10.5" style="250" bestFit="1" customWidth="1"/>
    <col min="4887" max="5124" width="9" style="250"/>
    <col min="5125" max="5125" width="18.75" style="250" customWidth="1"/>
    <col min="5126" max="5128" width="9.75" style="250" customWidth="1"/>
    <col min="5129" max="5129" width="8.625" style="250" customWidth="1"/>
    <col min="5130" max="5130" width="9.75" style="250" customWidth="1"/>
    <col min="5131" max="5131" width="8.625" style="250" customWidth="1"/>
    <col min="5132" max="5132" width="7.875" style="250" customWidth="1"/>
    <col min="5133" max="5134" width="9.75" style="250" customWidth="1"/>
    <col min="5135" max="5135" width="7.875" style="250" customWidth="1"/>
    <col min="5136" max="5136" width="8.625" style="250" customWidth="1"/>
    <col min="5137" max="5137" width="8.625" style="250" bestFit="1" customWidth="1"/>
    <col min="5138" max="5138" width="8.75" style="250" bestFit="1" customWidth="1"/>
    <col min="5139" max="5140" width="8.625" style="250" bestFit="1" customWidth="1"/>
    <col min="5141" max="5141" width="9.75" style="250" bestFit="1" customWidth="1"/>
    <col min="5142" max="5142" width="10.5" style="250" bestFit="1" customWidth="1"/>
    <col min="5143" max="5380" width="9" style="250"/>
    <col min="5381" max="5381" width="18.75" style="250" customWidth="1"/>
    <col min="5382" max="5384" width="9.75" style="250" customWidth="1"/>
    <col min="5385" max="5385" width="8.625" style="250" customWidth="1"/>
    <col min="5386" max="5386" width="9.75" style="250" customWidth="1"/>
    <col min="5387" max="5387" width="8.625" style="250" customWidth="1"/>
    <col min="5388" max="5388" width="7.875" style="250" customWidth="1"/>
    <col min="5389" max="5390" width="9.75" style="250" customWidth="1"/>
    <col min="5391" max="5391" width="7.875" style="250" customWidth="1"/>
    <col min="5392" max="5392" width="8.625" style="250" customWidth="1"/>
    <col min="5393" max="5393" width="8.625" style="250" bestFit="1" customWidth="1"/>
    <col min="5394" max="5394" width="8.75" style="250" bestFit="1" customWidth="1"/>
    <col min="5395" max="5396" width="8.625" style="250" bestFit="1" customWidth="1"/>
    <col min="5397" max="5397" width="9.75" style="250" bestFit="1" customWidth="1"/>
    <col min="5398" max="5398" width="10.5" style="250" bestFit="1" customWidth="1"/>
    <col min="5399" max="5636" width="9" style="250"/>
    <col min="5637" max="5637" width="18.75" style="250" customWidth="1"/>
    <col min="5638" max="5640" width="9.75" style="250" customWidth="1"/>
    <col min="5641" max="5641" width="8.625" style="250" customWidth="1"/>
    <col min="5642" max="5642" width="9.75" style="250" customWidth="1"/>
    <col min="5643" max="5643" width="8.625" style="250" customWidth="1"/>
    <col min="5644" max="5644" width="7.875" style="250" customWidth="1"/>
    <col min="5645" max="5646" width="9.75" style="250" customWidth="1"/>
    <col min="5647" max="5647" width="7.875" style="250" customWidth="1"/>
    <col min="5648" max="5648" width="8.625" style="250" customWidth="1"/>
    <col min="5649" max="5649" width="8.625" style="250" bestFit="1" customWidth="1"/>
    <col min="5650" max="5650" width="8.75" style="250" bestFit="1" customWidth="1"/>
    <col min="5651" max="5652" width="8.625" style="250" bestFit="1" customWidth="1"/>
    <col min="5653" max="5653" width="9.75" style="250" bestFit="1" customWidth="1"/>
    <col min="5654" max="5654" width="10.5" style="250" bestFit="1" customWidth="1"/>
    <col min="5655" max="5892" width="9" style="250"/>
    <col min="5893" max="5893" width="18.75" style="250" customWidth="1"/>
    <col min="5894" max="5896" width="9.75" style="250" customWidth="1"/>
    <col min="5897" max="5897" width="8.625" style="250" customWidth="1"/>
    <col min="5898" max="5898" width="9.75" style="250" customWidth="1"/>
    <col min="5899" max="5899" width="8.625" style="250" customWidth="1"/>
    <col min="5900" max="5900" width="7.875" style="250" customWidth="1"/>
    <col min="5901" max="5902" width="9.75" style="250" customWidth="1"/>
    <col min="5903" max="5903" width="7.875" style="250" customWidth="1"/>
    <col min="5904" max="5904" width="8.625" style="250" customWidth="1"/>
    <col min="5905" max="5905" width="8.625" style="250" bestFit="1" customWidth="1"/>
    <col min="5906" max="5906" width="8.75" style="250" bestFit="1" customWidth="1"/>
    <col min="5907" max="5908" width="8.625" style="250" bestFit="1" customWidth="1"/>
    <col min="5909" max="5909" width="9.75" style="250" bestFit="1" customWidth="1"/>
    <col min="5910" max="5910" width="10.5" style="250" bestFit="1" customWidth="1"/>
    <col min="5911" max="6148" width="9" style="250"/>
    <col min="6149" max="6149" width="18.75" style="250" customWidth="1"/>
    <col min="6150" max="6152" width="9.75" style="250" customWidth="1"/>
    <col min="6153" max="6153" width="8.625" style="250" customWidth="1"/>
    <col min="6154" max="6154" width="9.75" style="250" customWidth="1"/>
    <col min="6155" max="6155" width="8.625" style="250" customWidth="1"/>
    <col min="6156" max="6156" width="7.875" style="250" customWidth="1"/>
    <col min="6157" max="6158" width="9.75" style="250" customWidth="1"/>
    <col min="6159" max="6159" width="7.875" style="250" customWidth="1"/>
    <col min="6160" max="6160" width="8.625" style="250" customWidth="1"/>
    <col min="6161" max="6161" width="8.625" style="250" bestFit="1" customWidth="1"/>
    <col min="6162" max="6162" width="8.75" style="250" bestFit="1" customWidth="1"/>
    <col min="6163" max="6164" width="8.625" style="250" bestFit="1" customWidth="1"/>
    <col min="6165" max="6165" width="9.75" style="250" bestFit="1" customWidth="1"/>
    <col min="6166" max="6166" width="10.5" style="250" bestFit="1" customWidth="1"/>
    <col min="6167" max="6404" width="9" style="250"/>
    <col min="6405" max="6405" width="18.75" style="250" customWidth="1"/>
    <col min="6406" max="6408" width="9.75" style="250" customWidth="1"/>
    <col min="6409" max="6409" width="8.625" style="250" customWidth="1"/>
    <col min="6410" max="6410" width="9.75" style="250" customWidth="1"/>
    <col min="6411" max="6411" width="8.625" style="250" customWidth="1"/>
    <col min="6412" max="6412" width="7.875" style="250" customWidth="1"/>
    <col min="6413" max="6414" width="9.75" style="250" customWidth="1"/>
    <col min="6415" max="6415" width="7.875" style="250" customWidth="1"/>
    <col min="6416" max="6416" width="8.625" style="250" customWidth="1"/>
    <col min="6417" max="6417" width="8.625" style="250" bestFit="1" customWidth="1"/>
    <col min="6418" max="6418" width="8.75" style="250" bestFit="1" customWidth="1"/>
    <col min="6419" max="6420" width="8.625" style="250" bestFit="1" customWidth="1"/>
    <col min="6421" max="6421" width="9.75" style="250" bestFit="1" customWidth="1"/>
    <col min="6422" max="6422" width="10.5" style="250" bestFit="1" customWidth="1"/>
    <col min="6423" max="6660" width="9" style="250"/>
    <col min="6661" max="6661" width="18.75" style="250" customWidth="1"/>
    <col min="6662" max="6664" width="9.75" style="250" customWidth="1"/>
    <col min="6665" max="6665" width="8.625" style="250" customWidth="1"/>
    <col min="6666" max="6666" width="9.75" style="250" customWidth="1"/>
    <col min="6667" max="6667" width="8.625" style="250" customWidth="1"/>
    <col min="6668" max="6668" width="7.875" style="250" customWidth="1"/>
    <col min="6669" max="6670" width="9.75" style="250" customWidth="1"/>
    <col min="6671" max="6671" width="7.875" style="250" customWidth="1"/>
    <col min="6672" max="6672" width="8.625" style="250" customWidth="1"/>
    <col min="6673" max="6673" width="8.625" style="250" bestFit="1" customWidth="1"/>
    <col min="6674" max="6674" width="8.75" style="250" bestFit="1" customWidth="1"/>
    <col min="6675" max="6676" width="8.625" style="250" bestFit="1" customWidth="1"/>
    <col min="6677" max="6677" width="9.75" style="250" bestFit="1" customWidth="1"/>
    <col min="6678" max="6678" width="10.5" style="250" bestFit="1" customWidth="1"/>
    <col min="6679" max="6916" width="9" style="250"/>
    <col min="6917" max="6917" width="18.75" style="250" customWidth="1"/>
    <col min="6918" max="6920" width="9.75" style="250" customWidth="1"/>
    <col min="6921" max="6921" width="8.625" style="250" customWidth="1"/>
    <col min="6922" max="6922" width="9.75" style="250" customWidth="1"/>
    <col min="6923" max="6923" width="8.625" style="250" customWidth="1"/>
    <col min="6924" max="6924" width="7.875" style="250" customWidth="1"/>
    <col min="6925" max="6926" width="9.75" style="250" customWidth="1"/>
    <col min="6927" max="6927" width="7.875" style="250" customWidth="1"/>
    <col min="6928" max="6928" width="8.625" style="250" customWidth="1"/>
    <col min="6929" max="6929" width="8.625" style="250" bestFit="1" customWidth="1"/>
    <col min="6930" max="6930" width="8.75" style="250" bestFit="1" customWidth="1"/>
    <col min="6931" max="6932" width="8.625" style="250" bestFit="1" customWidth="1"/>
    <col min="6933" max="6933" width="9.75" style="250" bestFit="1" customWidth="1"/>
    <col min="6934" max="6934" width="10.5" style="250" bestFit="1" customWidth="1"/>
    <col min="6935" max="7172" width="9" style="250"/>
    <col min="7173" max="7173" width="18.75" style="250" customWidth="1"/>
    <col min="7174" max="7176" width="9.75" style="250" customWidth="1"/>
    <col min="7177" max="7177" width="8.625" style="250" customWidth="1"/>
    <col min="7178" max="7178" width="9.75" style="250" customWidth="1"/>
    <col min="7179" max="7179" width="8.625" style="250" customWidth="1"/>
    <col min="7180" max="7180" width="7.875" style="250" customWidth="1"/>
    <col min="7181" max="7182" width="9.75" style="250" customWidth="1"/>
    <col min="7183" max="7183" width="7.875" style="250" customWidth="1"/>
    <col min="7184" max="7184" width="8.625" style="250" customWidth="1"/>
    <col min="7185" max="7185" width="8.625" style="250" bestFit="1" customWidth="1"/>
    <col min="7186" max="7186" width="8.75" style="250" bestFit="1" customWidth="1"/>
    <col min="7187" max="7188" width="8.625" style="250" bestFit="1" customWidth="1"/>
    <col min="7189" max="7189" width="9.75" style="250" bestFit="1" customWidth="1"/>
    <col min="7190" max="7190" width="10.5" style="250" bestFit="1" customWidth="1"/>
    <col min="7191" max="7428" width="9" style="250"/>
    <col min="7429" max="7429" width="18.75" style="250" customWidth="1"/>
    <col min="7430" max="7432" width="9.75" style="250" customWidth="1"/>
    <col min="7433" max="7433" width="8.625" style="250" customWidth="1"/>
    <col min="7434" max="7434" width="9.75" style="250" customWidth="1"/>
    <col min="7435" max="7435" width="8.625" style="250" customWidth="1"/>
    <col min="7436" max="7436" width="7.875" style="250" customWidth="1"/>
    <col min="7437" max="7438" width="9.75" style="250" customWidth="1"/>
    <col min="7439" max="7439" width="7.875" style="250" customWidth="1"/>
    <col min="7440" max="7440" width="8.625" style="250" customWidth="1"/>
    <col min="7441" max="7441" width="8.625" style="250" bestFit="1" customWidth="1"/>
    <col min="7442" max="7442" width="8.75" style="250" bestFit="1" customWidth="1"/>
    <col min="7443" max="7444" width="8.625" style="250" bestFit="1" customWidth="1"/>
    <col min="7445" max="7445" width="9.75" style="250" bestFit="1" customWidth="1"/>
    <col min="7446" max="7446" width="10.5" style="250" bestFit="1" customWidth="1"/>
    <col min="7447" max="7684" width="9" style="250"/>
    <col min="7685" max="7685" width="18.75" style="250" customWidth="1"/>
    <col min="7686" max="7688" width="9.75" style="250" customWidth="1"/>
    <col min="7689" max="7689" width="8.625" style="250" customWidth="1"/>
    <col min="7690" max="7690" width="9.75" style="250" customWidth="1"/>
    <col min="7691" max="7691" width="8.625" style="250" customWidth="1"/>
    <col min="7692" max="7692" width="7.875" style="250" customWidth="1"/>
    <col min="7693" max="7694" width="9.75" style="250" customWidth="1"/>
    <col min="7695" max="7695" width="7.875" style="250" customWidth="1"/>
    <col min="7696" max="7696" width="8.625" style="250" customWidth="1"/>
    <col min="7697" max="7697" width="8.625" style="250" bestFit="1" customWidth="1"/>
    <col min="7698" max="7698" width="8.75" style="250" bestFit="1" customWidth="1"/>
    <col min="7699" max="7700" width="8.625" style="250" bestFit="1" customWidth="1"/>
    <col min="7701" max="7701" width="9.75" style="250" bestFit="1" customWidth="1"/>
    <col min="7702" max="7702" width="10.5" style="250" bestFit="1" customWidth="1"/>
    <col min="7703" max="7940" width="9" style="250"/>
    <col min="7941" max="7941" width="18.75" style="250" customWidth="1"/>
    <col min="7942" max="7944" width="9.75" style="250" customWidth="1"/>
    <col min="7945" max="7945" width="8.625" style="250" customWidth="1"/>
    <col min="7946" max="7946" width="9.75" style="250" customWidth="1"/>
    <col min="7947" max="7947" width="8.625" style="250" customWidth="1"/>
    <col min="7948" max="7948" width="7.875" style="250" customWidth="1"/>
    <col min="7949" max="7950" width="9.75" style="250" customWidth="1"/>
    <col min="7951" max="7951" width="7.875" style="250" customWidth="1"/>
    <col min="7952" max="7952" width="8.625" style="250" customWidth="1"/>
    <col min="7953" max="7953" width="8.625" style="250" bestFit="1" customWidth="1"/>
    <col min="7954" max="7954" width="8.75" style="250" bestFit="1" customWidth="1"/>
    <col min="7955" max="7956" width="8.625" style="250" bestFit="1" customWidth="1"/>
    <col min="7957" max="7957" width="9.75" style="250" bestFit="1" customWidth="1"/>
    <col min="7958" max="7958" width="10.5" style="250" bestFit="1" customWidth="1"/>
    <col min="7959" max="8196" width="9" style="250"/>
    <col min="8197" max="8197" width="18.75" style="250" customWidth="1"/>
    <col min="8198" max="8200" width="9.75" style="250" customWidth="1"/>
    <col min="8201" max="8201" width="8.625" style="250" customWidth="1"/>
    <col min="8202" max="8202" width="9.75" style="250" customWidth="1"/>
    <col min="8203" max="8203" width="8.625" style="250" customWidth="1"/>
    <col min="8204" max="8204" width="7.875" style="250" customWidth="1"/>
    <col min="8205" max="8206" width="9.75" style="250" customWidth="1"/>
    <col min="8207" max="8207" width="7.875" style="250" customWidth="1"/>
    <col min="8208" max="8208" width="8.625" style="250" customWidth="1"/>
    <col min="8209" max="8209" width="8.625" style="250" bestFit="1" customWidth="1"/>
    <col min="8210" max="8210" width="8.75" style="250" bestFit="1" customWidth="1"/>
    <col min="8211" max="8212" width="8.625" style="250" bestFit="1" customWidth="1"/>
    <col min="8213" max="8213" width="9.75" style="250" bestFit="1" customWidth="1"/>
    <col min="8214" max="8214" width="10.5" style="250" bestFit="1" customWidth="1"/>
    <col min="8215" max="8452" width="9" style="250"/>
    <col min="8453" max="8453" width="18.75" style="250" customWidth="1"/>
    <col min="8454" max="8456" width="9.75" style="250" customWidth="1"/>
    <col min="8457" max="8457" width="8.625" style="250" customWidth="1"/>
    <col min="8458" max="8458" width="9.75" style="250" customWidth="1"/>
    <col min="8459" max="8459" width="8.625" style="250" customWidth="1"/>
    <col min="8460" max="8460" width="7.875" style="250" customWidth="1"/>
    <col min="8461" max="8462" width="9.75" style="250" customWidth="1"/>
    <col min="8463" max="8463" width="7.875" style="250" customWidth="1"/>
    <col min="8464" max="8464" width="8.625" style="250" customWidth="1"/>
    <col min="8465" max="8465" width="8.625" style="250" bestFit="1" customWidth="1"/>
    <col min="8466" max="8466" width="8.75" style="250" bestFit="1" customWidth="1"/>
    <col min="8467" max="8468" width="8.625" style="250" bestFit="1" customWidth="1"/>
    <col min="8469" max="8469" width="9.75" style="250" bestFit="1" customWidth="1"/>
    <col min="8470" max="8470" width="10.5" style="250" bestFit="1" customWidth="1"/>
    <col min="8471" max="8708" width="9" style="250"/>
    <col min="8709" max="8709" width="18.75" style="250" customWidth="1"/>
    <col min="8710" max="8712" width="9.75" style="250" customWidth="1"/>
    <col min="8713" max="8713" width="8.625" style="250" customWidth="1"/>
    <col min="8714" max="8714" width="9.75" style="250" customWidth="1"/>
    <col min="8715" max="8715" width="8.625" style="250" customWidth="1"/>
    <col min="8716" max="8716" width="7.875" style="250" customWidth="1"/>
    <col min="8717" max="8718" width="9.75" style="250" customWidth="1"/>
    <col min="8719" max="8719" width="7.875" style="250" customWidth="1"/>
    <col min="8720" max="8720" width="8.625" style="250" customWidth="1"/>
    <col min="8721" max="8721" width="8.625" style="250" bestFit="1" customWidth="1"/>
    <col min="8722" max="8722" width="8.75" style="250" bestFit="1" customWidth="1"/>
    <col min="8723" max="8724" width="8.625" style="250" bestFit="1" customWidth="1"/>
    <col min="8725" max="8725" width="9.75" style="250" bestFit="1" customWidth="1"/>
    <col min="8726" max="8726" width="10.5" style="250" bestFit="1" customWidth="1"/>
    <col min="8727" max="8964" width="9" style="250"/>
    <col min="8965" max="8965" width="18.75" style="250" customWidth="1"/>
    <col min="8966" max="8968" width="9.75" style="250" customWidth="1"/>
    <col min="8969" max="8969" width="8.625" style="250" customWidth="1"/>
    <col min="8970" max="8970" width="9.75" style="250" customWidth="1"/>
    <col min="8971" max="8971" width="8.625" style="250" customWidth="1"/>
    <col min="8972" max="8972" width="7.875" style="250" customWidth="1"/>
    <col min="8973" max="8974" width="9.75" style="250" customWidth="1"/>
    <col min="8975" max="8975" width="7.875" style="250" customWidth="1"/>
    <col min="8976" max="8976" width="8.625" style="250" customWidth="1"/>
    <col min="8977" max="8977" width="8.625" style="250" bestFit="1" customWidth="1"/>
    <col min="8978" max="8978" width="8.75" style="250" bestFit="1" customWidth="1"/>
    <col min="8979" max="8980" width="8.625" style="250" bestFit="1" customWidth="1"/>
    <col min="8981" max="8981" width="9.75" style="250" bestFit="1" customWidth="1"/>
    <col min="8982" max="8982" width="10.5" style="250" bestFit="1" customWidth="1"/>
    <col min="8983" max="9220" width="9" style="250"/>
    <col min="9221" max="9221" width="18.75" style="250" customWidth="1"/>
    <col min="9222" max="9224" width="9.75" style="250" customWidth="1"/>
    <col min="9225" max="9225" width="8.625" style="250" customWidth="1"/>
    <col min="9226" max="9226" width="9.75" style="250" customWidth="1"/>
    <col min="9227" max="9227" width="8.625" style="250" customWidth="1"/>
    <col min="9228" max="9228" width="7.875" style="250" customWidth="1"/>
    <col min="9229" max="9230" width="9.75" style="250" customWidth="1"/>
    <col min="9231" max="9231" width="7.875" style="250" customWidth="1"/>
    <col min="9232" max="9232" width="8.625" style="250" customWidth="1"/>
    <col min="9233" max="9233" width="8.625" style="250" bestFit="1" customWidth="1"/>
    <col min="9234" max="9234" width="8.75" style="250" bestFit="1" customWidth="1"/>
    <col min="9235" max="9236" width="8.625" style="250" bestFit="1" customWidth="1"/>
    <col min="9237" max="9237" width="9.75" style="250" bestFit="1" customWidth="1"/>
    <col min="9238" max="9238" width="10.5" style="250" bestFit="1" customWidth="1"/>
    <col min="9239" max="9476" width="9" style="250"/>
    <col min="9477" max="9477" width="18.75" style="250" customWidth="1"/>
    <col min="9478" max="9480" width="9.75" style="250" customWidth="1"/>
    <col min="9481" max="9481" width="8.625" style="250" customWidth="1"/>
    <col min="9482" max="9482" width="9.75" style="250" customWidth="1"/>
    <col min="9483" max="9483" width="8.625" style="250" customWidth="1"/>
    <col min="9484" max="9484" width="7.875" style="250" customWidth="1"/>
    <col min="9485" max="9486" width="9.75" style="250" customWidth="1"/>
    <col min="9487" max="9487" width="7.875" style="250" customWidth="1"/>
    <col min="9488" max="9488" width="8.625" style="250" customWidth="1"/>
    <col min="9489" max="9489" width="8.625" style="250" bestFit="1" customWidth="1"/>
    <col min="9490" max="9490" width="8.75" style="250" bestFit="1" customWidth="1"/>
    <col min="9491" max="9492" width="8.625" style="250" bestFit="1" customWidth="1"/>
    <col min="9493" max="9493" width="9.75" style="250" bestFit="1" customWidth="1"/>
    <col min="9494" max="9494" width="10.5" style="250" bestFit="1" customWidth="1"/>
    <col min="9495" max="9732" width="9" style="250"/>
    <col min="9733" max="9733" width="18.75" style="250" customWidth="1"/>
    <col min="9734" max="9736" width="9.75" style="250" customWidth="1"/>
    <col min="9737" max="9737" width="8.625" style="250" customWidth="1"/>
    <col min="9738" max="9738" width="9.75" style="250" customWidth="1"/>
    <col min="9739" max="9739" width="8.625" style="250" customWidth="1"/>
    <col min="9740" max="9740" width="7.875" style="250" customWidth="1"/>
    <col min="9741" max="9742" width="9.75" style="250" customWidth="1"/>
    <col min="9743" max="9743" width="7.875" style="250" customWidth="1"/>
    <col min="9744" max="9744" width="8.625" style="250" customWidth="1"/>
    <col min="9745" max="9745" width="8.625" style="250" bestFit="1" customWidth="1"/>
    <col min="9746" max="9746" width="8.75" style="250" bestFit="1" customWidth="1"/>
    <col min="9747" max="9748" width="8.625" style="250" bestFit="1" customWidth="1"/>
    <col min="9749" max="9749" width="9.75" style="250" bestFit="1" customWidth="1"/>
    <col min="9750" max="9750" width="10.5" style="250" bestFit="1" customWidth="1"/>
    <col min="9751" max="9988" width="9" style="250"/>
    <col min="9989" max="9989" width="18.75" style="250" customWidth="1"/>
    <col min="9990" max="9992" width="9.75" style="250" customWidth="1"/>
    <col min="9993" max="9993" width="8.625" style="250" customWidth="1"/>
    <col min="9994" max="9994" width="9.75" style="250" customWidth="1"/>
    <col min="9995" max="9995" width="8.625" style="250" customWidth="1"/>
    <col min="9996" max="9996" width="7.875" style="250" customWidth="1"/>
    <col min="9997" max="9998" width="9.75" style="250" customWidth="1"/>
    <col min="9999" max="9999" width="7.875" style="250" customWidth="1"/>
    <col min="10000" max="10000" width="8.625" style="250" customWidth="1"/>
    <col min="10001" max="10001" width="8.625" style="250" bestFit="1" customWidth="1"/>
    <col min="10002" max="10002" width="8.75" style="250" bestFit="1" customWidth="1"/>
    <col min="10003" max="10004" width="8.625" style="250" bestFit="1" customWidth="1"/>
    <col min="10005" max="10005" width="9.75" style="250" bestFit="1" customWidth="1"/>
    <col min="10006" max="10006" width="10.5" style="250" bestFit="1" customWidth="1"/>
    <col min="10007" max="10244" width="9" style="250"/>
    <col min="10245" max="10245" width="18.75" style="250" customWidth="1"/>
    <col min="10246" max="10248" width="9.75" style="250" customWidth="1"/>
    <col min="10249" max="10249" width="8.625" style="250" customWidth="1"/>
    <col min="10250" max="10250" width="9.75" style="250" customWidth="1"/>
    <col min="10251" max="10251" width="8.625" style="250" customWidth="1"/>
    <col min="10252" max="10252" width="7.875" style="250" customWidth="1"/>
    <col min="10253" max="10254" width="9.75" style="250" customWidth="1"/>
    <col min="10255" max="10255" width="7.875" style="250" customWidth="1"/>
    <col min="10256" max="10256" width="8.625" style="250" customWidth="1"/>
    <col min="10257" max="10257" width="8.625" style="250" bestFit="1" customWidth="1"/>
    <col min="10258" max="10258" width="8.75" style="250" bestFit="1" customWidth="1"/>
    <col min="10259" max="10260" width="8.625" style="250" bestFit="1" customWidth="1"/>
    <col min="10261" max="10261" width="9.75" style="250" bestFit="1" customWidth="1"/>
    <col min="10262" max="10262" width="10.5" style="250" bestFit="1" customWidth="1"/>
    <col min="10263" max="10500" width="9" style="250"/>
    <col min="10501" max="10501" width="18.75" style="250" customWidth="1"/>
    <col min="10502" max="10504" width="9.75" style="250" customWidth="1"/>
    <col min="10505" max="10505" width="8.625" style="250" customWidth="1"/>
    <col min="10506" max="10506" width="9.75" style="250" customWidth="1"/>
    <col min="10507" max="10507" width="8.625" style="250" customWidth="1"/>
    <col min="10508" max="10508" width="7.875" style="250" customWidth="1"/>
    <col min="10509" max="10510" width="9.75" style="250" customWidth="1"/>
    <col min="10511" max="10511" width="7.875" style="250" customWidth="1"/>
    <col min="10512" max="10512" width="8.625" style="250" customWidth="1"/>
    <col min="10513" max="10513" width="8.625" style="250" bestFit="1" customWidth="1"/>
    <col min="10514" max="10514" width="8.75" style="250" bestFit="1" customWidth="1"/>
    <col min="10515" max="10516" width="8.625" style="250" bestFit="1" customWidth="1"/>
    <col min="10517" max="10517" width="9.75" style="250" bestFit="1" customWidth="1"/>
    <col min="10518" max="10518" width="10.5" style="250" bestFit="1" customWidth="1"/>
    <col min="10519" max="10756" width="9" style="250"/>
    <col min="10757" max="10757" width="18.75" style="250" customWidth="1"/>
    <col min="10758" max="10760" width="9.75" style="250" customWidth="1"/>
    <col min="10761" max="10761" width="8.625" style="250" customWidth="1"/>
    <col min="10762" max="10762" width="9.75" style="250" customWidth="1"/>
    <col min="10763" max="10763" width="8.625" style="250" customWidth="1"/>
    <col min="10764" max="10764" width="7.875" style="250" customWidth="1"/>
    <col min="10765" max="10766" width="9.75" style="250" customWidth="1"/>
    <col min="10767" max="10767" width="7.875" style="250" customWidth="1"/>
    <col min="10768" max="10768" width="8.625" style="250" customWidth="1"/>
    <col min="10769" max="10769" width="8.625" style="250" bestFit="1" customWidth="1"/>
    <col min="10770" max="10770" width="8.75" style="250" bestFit="1" customWidth="1"/>
    <col min="10771" max="10772" width="8.625" style="250" bestFit="1" customWidth="1"/>
    <col min="10773" max="10773" width="9.75" style="250" bestFit="1" customWidth="1"/>
    <col min="10774" max="10774" width="10.5" style="250" bestFit="1" customWidth="1"/>
    <col min="10775" max="11012" width="9" style="250"/>
    <col min="11013" max="11013" width="18.75" style="250" customWidth="1"/>
    <col min="11014" max="11016" width="9.75" style="250" customWidth="1"/>
    <col min="11017" max="11017" width="8.625" style="250" customWidth="1"/>
    <col min="11018" max="11018" width="9.75" style="250" customWidth="1"/>
    <col min="11019" max="11019" width="8.625" style="250" customWidth="1"/>
    <col min="11020" max="11020" width="7.875" style="250" customWidth="1"/>
    <col min="11021" max="11022" width="9.75" style="250" customWidth="1"/>
    <col min="11023" max="11023" width="7.875" style="250" customWidth="1"/>
    <col min="11024" max="11024" width="8.625" style="250" customWidth="1"/>
    <col min="11025" max="11025" width="8.625" style="250" bestFit="1" customWidth="1"/>
    <col min="11026" max="11026" width="8.75" style="250" bestFit="1" customWidth="1"/>
    <col min="11027" max="11028" width="8.625" style="250" bestFit="1" customWidth="1"/>
    <col min="11029" max="11029" width="9.75" style="250" bestFit="1" customWidth="1"/>
    <col min="11030" max="11030" width="10.5" style="250" bestFit="1" customWidth="1"/>
    <col min="11031" max="11268" width="9" style="250"/>
    <col min="11269" max="11269" width="18.75" style="250" customWidth="1"/>
    <col min="11270" max="11272" width="9.75" style="250" customWidth="1"/>
    <col min="11273" max="11273" width="8.625" style="250" customWidth="1"/>
    <col min="11274" max="11274" width="9.75" style="250" customWidth="1"/>
    <col min="11275" max="11275" width="8.625" style="250" customWidth="1"/>
    <col min="11276" max="11276" width="7.875" style="250" customWidth="1"/>
    <col min="11277" max="11278" width="9.75" style="250" customWidth="1"/>
    <col min="11279" max="11279" width="7.875" style="250" customWidth="1"/>
    <col min="11280" max="11280" width="8.625" style="250" customWidth="1"/>
    <col min="11281" max="11281" width="8.625" style="250" bestFit="1" customWidth="1"/>
    <col min="11282" max="11282" width="8.75" style="250" bestFit="1" customWidth="1"/>
    <col min="11283" max="11284" width="8.625" style="250" bestFit="1" customWidth="1"/>
    <col min="11285" max="11285" width="9.75" style="250" bestFit="1" customWidth="1"/>
    <col min="11286" max="11286" width="10.5" style="250" bestFit="1" customWidth="1"/>
    <col min="11287" max="11524" width="9" style="250"/>
    <col min="11525" max="11525" width="18.75" style="250" customWidth="1"/>
    <col min="11526" max="11528" width="9.75" style="250" customWidth="1"/>
    <col min="11529" max="11529" width="8.625" style="250" customWidth="1"/>
    <col min="11530" max="11530" width="9.75" style="250" customWidth="1"/>
    <col min="11531" max="11531" width="8.625" style="250" customWidth="1"/>
    <col min="11532" max="11532" width="7.875" style="250" customWidth="1"/>
    <col min="11533" max="11534" width="9.75" style="250" customWidth="1"/>
    <col min="11535" max="11535" width="7.875" style="250" customWidth="1"/>
    <col min="11536" max="11536" width="8.625" style="250" customWidth="1"/>
    <col min="11537" max="11537" width="8.625" style="250" bestFit="1" customWidth="1"/>
    <col min="11538" max="11538" width="8.75" style="250" bestFit="1" customWidth="1"/>
    <col min="11539" max="11540" width="8.625" style="250" bestFit="1" customWidth="1"/>
    <col min="11541" max="11541" width="9.75" style="250" bestFit="1" customWidth="1"/>
    <col min="11542" max="11542" width="10.5" style="250" bestFit="1" customWidth="1"/>
    <col min="11543" max="11780" width="9" style="250"/>
    <col min="11781" max="11781" width="18.75" style="250" customWidth="1"/>
    <col min="11782" max="11784" width="9.75" style="250" customWidth="1"/>
    <col min="11785" max="11785" width="8.625" style="250" customWidth="1"/>
    <col min="11786" max="11786" width="9.75" style="250" customWidth="1"/>
    <col min="11787" max="11787" width="8.625" style="250" customWidth="1"/>
    <col min="11788" max="11788" width="7.875" style="250" customWidth="1"/>
    <col min="11789" max="11790" width="9.75" style="250" customWidth="1"/>
    <col min="11791" max="11791" width="7.875" style="250" customWidth="1"/>
    <col min="11792" max="11792" width="8.625" style="250" customWidth="1"/>
    <col min="11793" max="11793" width="8.625" style="250" bestFit="1" customWidth="1"/>
    <col min="11794" max="11794" width="8.75" style="250" bestFit="1" customWidth="1"/>
    <col min="11795" max="11796" width="8.625" style="250" bestFit="1" customWidth="1"/>
    <col min="11797" max="11797" width="9.75" style="250" bestFit="1" customWidth="1"/>
    <col min="11798" max="11798" width="10.5" style="250" bestFit="1" customWidth="1"/>
    <col min="11799" max="12036" width="9" style="250"/>
    <col min="12037" max="12037" width="18.75" style="250" customWidth="1"/>
    <col min="12038" max="12040" width="9.75" style="250" customWidth="1"/>
    <col min="12041" max="12041" width="8.625" style="250" customWidth="1"/>
    <col min="12042" max="12042" width="9.75" style="250" customWidth="1"/>
    <col min="12043" max="12043" width="8.625" style="250" customWidth="1"/>
    <col min="12044" max="12044" width="7.875" style="250" customWidth="1"/>
    <col min="12045" max="12046" width="9.75" style="250" customWidth="1"/>
    <col min="12047" max="12047" width="7.875" style="250" customWidth="1"/>
    <col min="12048" max="12048" width="8.625" style="250" customWidth="1"/>
    <col min="12049" max="12049" width="8.625" style="250" bestFit="1" customWidth="1"/>
    <col min="12050" max="12050" width="8.75" style="250" bestFit="1" customWidth="1"/>
    <col min="12051" max="12052" width="8.625" style="250" bestFit="1" customWidth="1"/>
    <col min="12053" max="12053" width="9.75" style="250" bestFit="1" customWidth="1"/>
    <col min="12054" max="12054" width="10.5" style="250" bestFit="1" customWidth="1"/>
    <col min="12055" max="12292" width="9" style="250"/>
    <col min="12293" max="12293" width="18.75" style="250" customWidth="1"/>
    <col min="12294" max="12296" width="9.75" style="250" customWidth="1"/>
    <col min="12297" max="12297" width="8.625" style="250" customWidth="1"/>
    <col min="12298" max="12298" width="9.75" style="250" customWidth="1"/>
    <col min="12299" max="12299" width="8.625" style="250" customWidth="1"/>
    <col min="12300" max="12300" width="7.875" style="250" customWidth="1"/>
    <col min="12301" max="12302" width="9.75" style="250" customWidth="1"/>
    <col min="12303" max="12303" width="7.875" style="250" customWidth="1"/>
    <col min="12304" max="12304" width="8.625" style="250" customWidth="1"/>
    <col min="12305" max="12305" width="8.625" style="250" bestFit="1" customWidth="1"/>
    <col min="12306" max="12306" width="8.75" style="250" bestFit="1" customWidth="1"/>
    <col min="12307" max="12308" width="8.625" style="250" bestFit="1" customWidth="1"/>
    <col min="12309" max="12309" width="9.75" style="250" bestFit="1" customWidth="1"/>
    <col min="12310" max="12310" width="10.5" style="250" bestFit="1" customWidth="1"/>
    <col min="12311" max="12548" width="9" style="250"/>
    <col min="12549" max="12549" width="18.75" style="250" customWidth="1"/>
    <col min="12550" max="12552" width="9.75" style="250" customWidth="1"/>
    <col min="12553" max="12553" width="8.625" style="250" customWidth="1"/>
    <col min="12554" max="12554" width="9.75" style="250" customWidth="1"/>
    <col min="12555" max="12555" width="8.625" style="250" customWidth="1"/>
    <col min="12556" max="12556" width="7.875" style="250" customWidth="1"/>
    <col min="12557" max="12558" width="9.75" style="250" customWidth="1"/>
    <col min="12559" max="12559" width="7.875" style="250" customWidth="1"/>
    <col min="12560" max="12560" width="8.625" style="250" customWidth="1"/>
    <col min="12561" max="12561" width="8.625" style="250" bestFit="1" customWidth="1"/>
    <col min="12562" max="12562" width="8.75" style="250" bestFit="1" customWidth="1"/>
    <col min="12563" max="12564" width="8.625" style="250" bestFit="1" customWidth="1"/>
    <col min="12565" max="12565" width="9.75" style="250" bestFit="1" customWidth="1"/>
    <col min="12566" max="12566" width="10.5" style="250" bestFit="1" customWidth="1"/>
    <col min="12567" max="12804" width="9" style="250"/>
    <col min="12805" max="12805" width="18.75" style="250" customWidth="1"/>
    <col min="12806" max="12808" width="9.75" style="250" customWidth="1"/>
    <col min="12809" max="12809" width="8.625" style="250" customWidth="1"/>
    <col min="12810" max="12810" width="9.75" style="250" customWidth="1"/>
    <col min="12811" max="12811" width="8.625" style="250" customWidth="1"/>
    <col min="12812" max="12812" width="7.875" style="250" customWidth="1"/>
    <col min="12813" max="12814" width="9.75" style="250" customWidth="1"/>
    <col min="12815" max="12815" width="7.875" style="250" customWidth="1"/>
    <col min="12816" max="12816" width="8.625" style="250" customWidth="1"/>
    <col min="12817" max="12817" width="8.625" style="250" bestFit="1" customWidth="1"/>
    <col min="12818" max="12818" width="8.75" style="250" bestFit="1" customWidth="1"/>
    <col min="12819" max="12820" width="8.625" style="250" bestFit="1" customWidth="1"/>
    <col min="12821" max="12821" width="9.75" style="250" bestFit="1" customWidth="1"/>
    <col min="12822" max="12822" width="10.5" style="250" bestFit="1" customWidth="1"/>
    <col min="12823" max="13060" width="9" style="250"/>
    <col min="13061" max="13061" width="18.75" style="250" customWidth="1"/>
    <col min="13062" max="13064" width="9.75" style="250" customWidth="1"/>
    <col min="13065" max="13065" width="8.625" style="250" customWidth="1"/>
    <col min="13066" max="13066" width="9.75" style="250" customWidth="1"/>
    <col min="13067" max="13067" width="8.625" style="250" customWidth="1"/>
    <col min="13068" max="13068" width="7.875" style="250" customWidth="1"/>
    <col min="13069" max="13070" width="9.75" style="250" customWidth="1"/>
    <col min="13071" max="13071" width="7.875" style="250" customWidth="1"/>
    <col min="13072" max="13072" width="8.625" style="250" customWidth="1"/>
    <col min="13073" max="13073" width="8.625" style="250" bestFit="1" customWidth="1"/>
    <col min="13074" max="13074" width="8.75" style="250" bestFit="1" customWidth="1"/>
    <col min="13075" max="13076" width="8.625" style="250" bestFit="1" customWidth="1"/>
    <col min="13077" max="13077" width="9.75" style="250" bestFit="1" customWidth="1"/>
    <col min="13078" max="13078" width="10.5" style="250" bestFit="1" customWidth="1"/>
    <col min="13079" max="13316" width="9" style="250"/>
    <col min="13317" max="13317" width="18.75" style="250" customWidth="1"/>
    <col min="13318" max="13320" width="9.75" style="250" customWidth="1"/>
    <col min="13321" max="13321" width="8.625" style="250" customWidth="1"/>
    <col min="13322" max="13322" width="9.75" style="250" customWidth="1"/>
    <col min="13323" max="13323" width="8.625" style="250" customWidth="1"/>
    <col min="13324" max="13324" width="7.875" style="250" customWidth="1"/>
    <col min="13325" max="13326" width="9.75" style="250" customWidth="1"/>
    <col min="13327" max="13327" width="7.875" style="250" customWidth="1"/>
    <col min="13328" max="13328" width="8.625" style="250" customWidth="1"/>
    <col min="13329" max="13329" width="8.625" style="250" bestFit="1" customWidth="1"/>
    <col min="13330" max="13330" width="8.75" style="250" bestFit="1" customWidth="1"/>
    <col min="13331" max="13332" width="8.625" style="250" bestFit="1" customWidth="1"/>
    <col min="13333" max="13333" width="9.75" style="250" bestFit="1" customWidth="1"/>
    <col min="13334" max="13334" width="10.5" style="250" bestFit="1" customWidth="1"/>
    <col min="13335" max="13572" width="9" style="250"/>
    <col min="13573" max="13573" width="18.75" style="250" customWidth="1"/>
    <col min="13574" max="13576" width="9.75" style="250" customWidth="1"/>
    <col min="13577" max="13577" width="8.625" style="250" customWidth="1"/>
    <col min="13578" max="13578" width="9.75" style="250" customWidth="1"/>
    <col min="13579" max="13579" width="8.625" style="250" customWidth="1"/>
    <col min="13580" max="13580" width="7.875" style="250" customWidth="1"/>
    <col min="13581" max="13582" width="9.75" style="250" customWidth="1"/>
    <col min="13583" max="13583" width="7.875" style="250" customWidth="1"/>
    <col min="13584" max="13584" width="8.625" style="250" customWidth="1"/>
    <col min="13585" max="13585" width="8.625" style="250" bestFit="1" customWidth="1"/>
    <col min="13586" max="13586" width="8.75" style="250" bestFit="1" customWidth="1"/>
    <col min="13587" max="13588" width="8.625" style="250" bestFit="1" customWidth="1"/>
    <col min="13589" max="13589" width="9.75" style="250" bestFit="1" customWidth="1"/>
    <col min="13590" max="13590" width="10.5" style="250" bestFit="1" customWidth="1"/>
    <col min="13591" max="13828" width="9" style="250"/>
    <col min="13829" max="13829" width="18.75" style="250" customWidth="1"/>
    <col min="13830" max="13832" width="9.75" style="250" customWidth="1"/>
    <col min="13833" max="13833" width="8.625" style="250" customWidth="1"/>
    <col min="13834" max="13834" width="9.75" style="250" customWidth="1"/>
    <col min="13835" max="13835" width="8.625" style="250" customWidth="1"/>
    <col min="13836" max="13836" width="7.875" style="250" customWidth="1"/>
    <col min="13837" max="13838" width="9.75" style="250" customWidth="1"/>
    <col min="13839" max="13839" width="7.875" style="250" customWidth="1"/>
    <col min="13840" max="13840" width="8.625" style="250" customWidth="1"/>
    <col min="13841" max="13841" width="8.625" style="250" bestFit="1" customWidth="1"/>
    <col min="13842" max="13842" width="8.75" style="250" bestFit="1" customWidth="1"/>
    <col min="13843" max="13844" width="8.625" style="250" bestFit="1" customWidth="1"/>
    <col min="13845" max="13845" width="9.75" style="250" bestFit="1" customWidth="1"/>
    <col min="13846" max="13846" width="10.5" style="250" bestFit="1" customWidth="1"/>
    <col min="13847" max="14084" width="9" style="250"/>
    <col min="14085" max="14085" width="18.75" style="250" customWidth="1"/>
    <col min="14086" max="14088" width="9.75" style="250" customWidth="1"/>
    <col min="14089" max="14089" width="8.625" style="250" customWidth="1"/>
    <col min="14090" max="14090" width="9.75" style="250" customWidth="1"/>
    <col min="14091" max="14091" width="8.625" style="250" customWidth="1"/>
    <col min="14092" max="14092" width="7.875" style="250" customWidth="1"/>
    <col min="14093" max="14094" width="9.75" style="250" customWidth="1"/>
    <col min="14095" max="14095" width="7.875" style="250" customWidth="1"/>
    <col min="14096" max="14096" width="8.625" style="250" customWidth="1"/>
    <col min="14097" max="14097" width="8.625" style="250" bestFit="1" customWidth="1"/>
    <col min="14098" max="14098" width="8.75" style="250" bestFit="1" customWidth="1"/>
    <col min="14099" max="14100" width="8.625" style="250" bestFit="1" customWidth="1"/>
    <col min="14101" max="14101" width="9.75" style="250" bestFit="1" customWidth="1"/>
    <col min="14102" max="14102" width="10.5" style="250" bestFit="1" customWidth="1"/>
    <col min="14103" max="14340" width="9" style="250"/>
    <col min="14341" max="14341" width="18.75" style="250" customWidth="1"/>
    <col min="14342" max="14344" width="9.75" style="250" customWidth="1"/>
    <col min="14345" max="14345" width="8.625" style="250" customWidth="1"/>
    <col min="14346" max="14346" width="9.75" style="250" customWidth="1"/>
    <col min="14347" max="14347" width="8.625" style="250" customWidth="1"/>
    <col min="14348" max="14348" width="7.875" style="250" customWidth="1"/>
    <col min="14349" max="14350" width="9.75" style="250" customWidth="1"/>
    <col min="14351" max="14351" width="7.875" style="250" customWidth="1"/>
    <col min="14352" max="14352" width="8.625" style="250" customWidth="1"/>
    <col min="14353" max="14353" width="8.625" style="250" bestFit="1" customWidth="1"/>
    <col min="14354" max="14354" width="8.75" style="250" bestFit="1" customWidth="1"/>
    <col min="14355" max="14356" width="8.625" style="250" bestFit="1" customWidth="1"/>
    <col min="14357" max="14357" width="9.75" style="250" bestFit="1" customWidth="1"/>
    <col min="14358" max="14358" width="10.5" style="250" bestFit="1" customWidth="1"/>
    <col min="14359" max="14596" width="9" style="250"/>
    <col min="14597" max="14597" width="18.75" style="250" customWidth="1"/>
    <col min="14598" max="14600" width="9.75" style="250" customWidth="1"/>
    <col min="14601" max="14601" width="8.625" style="250" customWidth="1"/>
    <col min="14602" max="14602" width="9.75" style="250" customWidth="1"/>
    <col min="14603" max="14603" width="8.625" style="250" customWidth="1"/>
    <col min="14604" max="14604" width="7.875" style="250" customWidth="1"/>
    <col min="14605" max="14606" width="9.75" style="250" customWidth="1"/>
    <col min="14607" max="14607" width="7.875" style="250" customWidth="1"/>
    <col min="14608" max="14608" width="8.625" style="250" customWidth="1"/>
    <col min="14609" max="14609" width="8.625" style="250" bestFit="1" customWidth="1"/>
    <col min="14610" max="14610" width="8.75" style="250" bestFit="1" customWidth="1"/>
    <col min="14611" max="14612" width="8.625" style="250" bestFit="1" customWidth="1"/>
    <col min="14613" max="14613" width="9.75" style="250" bestFit="1" customWidth="1"/>
    <col min="14614" max="14614" width="10.5" style="250" bestFit="1" customWidth="1"/>
    <col min="14615" max="14852" width="9" style="250"/>
    <col min="14853" max="14853" width="18.75" style="250" customWidth="1"/>
    <col min="14854" max="14856" width="9.75" style="250" customWidth="1"/>
    <col min="14857" max="14857" width="8.625" style="250" customWidth="1"/>
    <col min="14858" max="14858" width="9.75" style="250" customWidth="1"/>
    <col min="14859" max="14859" width="8.625" style="250" customWidth="1"/>
    <col min="14860" max="14860" width="7.875" style="250" customWidth="1"/>
    <col min="14861" max="14862" width="9.75" style="250" customWidth="1"/>
    <col min="14863" max="14863" width="7.875" style="250" customWidth="1"/>
    <col min="14864" max="14864" width="8.625" style="250" customWidth="1"/>
    <col min="14865" max="14865" width="8.625" style="250" bestFit="1" customWidth="1"/>
    <col min="14866" max="14866" width="8.75" style="250" bestFit="1" customWidth="1"/>
    <col min="14867" max="14868" width="8.625" style="250" bestFit="1" customWidth="1"/>
    <col min="14869" max="14869" width="9.75" style="250" bestFit="1" customWidth="1"/>
    <col min="14870" max="14870" width="10.5" style="250" bestFit="1" customWidth="1"/>
    <col min="14871" max="15108" width="9" style="250"/>
    <col min="15109" max="15109" width="18.75" style="250" customWidth="1"/>
    <col min="15110" max="15112" width="9.75" style="250" customWidth="1"/>
    <col min="15113" max="15113" width="8.625" style="250" customWidth="1"/>
    <col min="15114" max="15114" width="9.75" style="250" customWidth="1"/>
    <col min="15115" max="15115" width="8.625" style="250" customWidth="1"/>
    <col min="15116" max="15116" width="7.875" style="250" customWidth="1"/>
    <col min="15117" max="15118" width="9.75" style="250" customWidth="1"/>
    <col min="15119" max="15119" width="7.875" style="250" customWidth="1"/>
    <col min="15120" max="15120" width="8.625" style="250" customWidth="1"/>
    <col min="15121" max="15121" width="8.625" style="250" bestFit="1" customWidth="1"/>
    <col min="15122" max="15122" width="8.75" style="250" bestFit="1" customWidth="1"/>
    <col min="15123" max="15124" width="8.625" style="250" bestFit="1" customWidth="1"/>
    <col min="15125" max="15125" width="9.75" style="250" bestFit="1" customWidth="1"/>
    <col min="15126" max="15126" width="10.5" style="250" bestFit="1" customWidth="1"/>
    <col min="15127" max="15364" width="9" style="250"/>
    <col min="15365" max="15365" width="18.75" style="250" customWidth="1"/>
    <col min="15366" max="15368" width="9.75" style="250" customWidth="1"/>
    <col min="15369" max="15369" width="8.625" style="250" customWidth="1"/>
    <col min="15370" max="15370" width="9.75" style="250" customWidth="1"/>
    <col min="15371" max="15371" width="8.625" style="250" customWidth="1"/>
    <col min="15372" max="15372" width="7.875" style="250" customWidth="1"/>
    <col min="15373" max="15374" width="9.75" style="250" customWidth="1"/>
    <col min="15375" max="15375" width="7.875" style="250" customWidth="1"/>
    <col min="15376" max="15376" width="8.625" style="250" customWidth="1"/>
    <col min="15377" max="15377" width="8.625" style="250" bestFit="1" customWidth="1"/>
    <col min="15378" max="15378" width="8.75" style="250" bestFit="1" customWidth="1"/>
    <col min="15379" max="15380" width="8.625" style="250" bestFit="1" customWidth="1"/>
    <col min="15381" max="15381" width="9.75" style="250" bestFit="1" customWidth="1"/>
    <col min="15382" max="15382" width="10.5" style="250" bestFit="1" customWidth="1"/>
    <col min="15383" max="15620" width="9" style="250"/>
    <col min="15621" max="15621" width="18.75" style="250" customWidth="1"/>
    <col min="15622" max="15624" width="9.75" style="250" customWidth="1"/>
    <col min="15625" max="15625" width="8.625" style="250" customWidth="1"/>
    <col min="15626" max="15626" width="9.75" style="250" customWidth="1"/>
    <col min="15627" max="15627" width="8.625" style="250" customWidth="1"/>
    <col min="15628" max="15628" width="7.875" style="250" customWidth="1"/>
    <col min="15629" max="15630" width="9.75" style="250" customWidth="1"/>
    <col min="15631" max="15631" width="7.875" style="250" customWidth="1"/>
    <col min="15632" max="15632" width="8.625" style="250" customWidth="1"/>
    <col min="15633" max="15633" width="8.625" style="250" bestFit="1" customWidth="1"/>
    <col min="15634" max="15634" width="8.75" style="250" bestFit="1" customWidth="1"/>
    <col min="15635" max="15636" width="8.625" style="250" bestFit="1" customWidth="1"/>
    <col min="15637" max="15637" width="9.75" style="250" bestFit="1" customWidth="1"/>
    <col min="15638" max="15638" width="10.5" style="250" bestFit="1" customWidth="1"/>
    <col min="15639" max="15876" width="9" style="250"/>
    <col min="15877" max="15877" width="18.75" style="250" customWidth="1"/>
    <col min="15878" max="15880" width="9.75" style="250" customWidth="1"/>
    <col min="15881" max="15881" width="8.625" style="250" customWidth="1"/>
    <col min="15882" max="15882" width="9.75" style="250" customWidth="1"/>
    <col min="15883" max="15883" width="8.625" style="250" customWidth="1"/>
    <col min="15884" max="15884" width="7.875" style="250" customWidth="1"/>
    <col min="15885" max="15886" width="9.75" style="250" customWidth="1"/>
    <col min="15887" max="15887" width="7.875" style="250" customWidth="1"/>
    <col min="15888" max="15888" width="8.625" style="250" customWidth="1"/>
    <col min="15889" max="15889" width="8.625" style="250" bestFit="1" customWidth="1"/>
    <col min="15890" max="15890" width="8.75" style="250" bestFit="1" customWidth="1"/>
    <col min="15891" max="15892" width="8.625" style="250" bestFit="1" customWidth="1"/>
    <col min="15893" max="15893" width="9.75" style="250" bestFit="1" customWidth="1"/>
    <col min="15894" max="15894" width="10.5" style="250" bestFit="1" customWidth="1"/>
    <col min="15895" max="16132" width="9" style="250"/>
    <col min="16133" max="16133" width="18.75" style="250" customWidth="1"/>
    <col min="16134" max="16136" width="9.75" style="250" customWidth="1"/>
    <col min="16137" max="16137" width="8.625" style="250" customWidth="1"/>
    <col min="16138" max="16138" width="9.75" style="250" customWidth="1"/>
    <col min="16139" max="16139" width="8.625" style="250" customWidth="1"/>
    <col min="16140" max="16140" width="7.875" style="250" customWidth="1"/>
    <col min="16141" max="16142" width="9.75" style="250" customWidth="1"/>
    <col min="16143" max="16143" width="7.875" style="250" customWidth="1"/>
    <col min="16144" max="16144" width="8.625" style="250" customWidth="1"/>
    <col min="16145" max="16145" width="8.625" style="250" bestFit="1" customWidth="1"/>
    <col min="16146" max="16146" width="8.75" style="250" bestFit="1" customWidth="1"/>
    <col min="16147" max="16148" width="8.625" style="250" bestFit="1" customWidth="1"/>
    <col min="16149" max="16149" width="9.75" style="250" bestFit="1" customWidth="1"/>
    <col min="16150" max="16150" width="10.5" style="250" bestFit="1" customWidth="1"/>
    <col min="16151" max="16384" width="9" style="250"/>
  </cols>
  <sheetData>
    <row r="1" spans="1:22" s="249" customFormat="1" ht="26.25">
      <c r="A1" s="443" t="s">
        <v>119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</row>
    <row r="2" spans="1:22" ht="26.25">
      <c r="A2" s="444" t="s">
        <v>203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</row>
    <row r="3" spans="1:22" ht="27" thickBot="1">
      <c r="A3" s="445" t="s">
        <v>287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</row>
    <row r="4" spans="1:22" s="256" customFormat="1" ht="21" customHeight="1">
      <c r="A4" s="251" t="s">
        <v>121</v>
      </c>
      <c r="B4" s="446" t="s">
        <v>122</v>
      </c>
      <c r="C4" s="447"/>
      <c r="D4" s="448"/>
      <c r="E4" s="446" t="s">
        <v>123</v>
      </c>
      <c r="F4" s="448"/>
      <c r="G4" s="446" t="s">
        <v>124</v>
      </c>
      <c r="H4" s="448"/>
      <c r="I4" s="252" t="s">
        <v>125</v>
      </c>
      <c r="J4" s="253" t="s">
        <v>204</v>
      </c>
      <c r="K4" s="446" t="s">
        <v>126</v>
      </c>
      <c r="L4" s="448"/>
      <c r="M4" s="449" t="s">
        <v>127</v>
      </c>
      <c r="N4" s="450"/>
      <c r="O4" s="446" t="s">
        <v>128</v>
      </c>
      <c r="P4" s="447"/>
      <c r="Q4" s="448"/>
      <c r="R4" s="449" t="s">
        <v>129</v>
      </c>
      <c r="S4" s="450"/>
      <c r="T4" s="254" t="s">
        <v>130</v>
      </c>
      <c r="U4" s="252" t="s">
        <v>131</v>
      </c>
      <c r="V4" s="255" t="s">
        <v>109</v>
      </c>
    </row>
    <row r="5" spans="1:22" s="256" customFormat="1" ht="21" customHeight="1" thickBot="1">
      <c r="A5" s="257" t="s">
        <v>132</v>
      </c>
      <c r="B5" s="258" t="s">
        <v>133</v>
      </c>
      <c r="C5" s="259" t="s">
        <v>134</v>
      </c>
      <c r="D5" s="259" t="s">
        <v>135</v>
      </c>
      <c r="E5" s="260" t="s">
        <v>136</v>
      </c>
      <c r="F5" s="260" t="s">
        <v>205</v>
      </c>
      <c r="G5" s="258" t="s">
        <v>167</v>
      </c>
      <c r="H5" s="258" t="s">
        <v>137</v>
      </c>
      <c r="I5" s="258" t="s">
        <v>138</v>
      </c>
      <c r="J5" s="261" t="s">
        <v>206</v>
      </c>
      <c r="K5" s="260" t="s">
        <v>139</v>
      </c>
      <c r="L5" s="260" t="s">
        <v>140</v>
      </c>
      <c r="M5" s="262" t="s">
        <v>141</v>
      </c>
      <c r="N5" s="262" t="s">
        <v>168</v>
      </c>
      <c r="O5" s="263" t="s">
        <v>142</v>
      </c>
      <c r="P5" s="259" t="s">
        <v>143</v>
      </c>
      <c r="Q5" s="264" t="s">
        <v>144</v>
      </c>
      <c r="R5" s="262" t="s">
        <v>145</v>
      </c>
      <c r="S5" s="262" t="s">
        <v>207</v>
      </c>
      <c r="T5" s="262" t="s">
        <v>146</v>
      </c>
      <c r="U5" s="260" t="s">
        <v>147</v>
      </c>
      <c r="V5" s="265"/>
    </row>
    <row r="6" spans="1:22" ht="21" customHeight="1">
      <c r="A6" s="266" t="s">
        <v>25</v>
      </c>
      <c r="B6" s="267"/>
      <c r="C6" s="268"/>
      <c r="D6" s="268"/>
      <c r="E6" s="267"/>
      <c r="F6" s="267"/>
      <c r="G6" s="268"/>
      <c r="H6" s="268"/>
      <c r="I6" s="268"/>
      <c r="J6" s="269"/>
      <c r="K6" s="267"/>
      <c r="L6" s="267"/>
      <c r="M6" s="270"/>
      <c r="N6" s="270"/>
      <c r="O6" s="271"/>
      <c r="P6" s="267"/>
      <c r="Q6" s="269"/>
      <c r="R6" s="270"/>
      <c r="S6" s="270"/>
      <c r="T6" s="270"/>
      <c r="U6" s="267"/>
      <c r="V6" s="270"/>
    </row>
    <row r="7" spans="1:22" ht="21" customHeight="1">
      <c r="A7" s="272" t="s">
        <v>278</v>
      </c>
      <c r="B7" s="273">
        <v>0</v>
      </c>
      <c r="C7" s="273">
        <v>0</v>
      </c>
      <c r="D7" s="273">
        <v>0</v>
      </c>
      <c r="E7" s="273">
        <v>0</v>
      </c>
      <c r="F7" s="273">
        <v>0</v>
      </c>
      <c r="G7" s="273">
        <v>0</v>
      </c>
      <c r="H7" s="273">
        <v>0</v>
      </c>
      <c r="I7" s="273">
        <v>0</v>
      </c>
      <c r="J7" s="273">
        <v>0</v>
      </c>
      <c r="K7" s="273">
        <v>0</v>
      </c>
      <c r="L7" s="273">
        <v>0</v>
      </c>
      <c r="M7" s="273">
        <v>0</v>
      </c>
      <c r="N7" s="273">
        <v>0</v>
      </c>
      <c r="O7" s="273">
        <v>0</v>
      </c>
      <c r="P7" s="273">
        <v>0</v>
      </c>
      <c r="Q7" s="273">
        <v>0</v>
      </c>
      <c r="R7" s="273">
        <v>0</v>
      </c>
      <c r="S7" s="273">
        <v>0</v>
      </c>
      <c r="T7" s="273">
        <v>0</v>
      </c>
      <c r="U7" s="273">
        <v>718000</v>
      </c>
      <c r="V7" s="273">
        <f t="shared" ref="V7" si="0">SUM(B7:U7)</f>
        <v>718000</v>
      </c>
    </row>
    <row r="8" spans="1:22" ht="21" customHeight="1">
      <c r="A8" s="272" t="s">
        <v>279</v>
      </c>
      <c r="B8" s="273">
        <v>0</v>
      </c>
      <c r="C8" s="273">
        <v>0</v>
      </c>
      <c r="D8" s="273">
        <v>0</v>
      </c>
      <c r="E8" s="273">
        <v>0</v>
      </c>
      <c r="F8" s="273">
        <v>0</v>
      </c>
      <c r="G8" s="273">
        <v>0</v>
      </c>
      <c r="H8" s="273">
        <v>0</v>
      </c>
      <c r="I8" s="273">
        <v>0</v>
      </c>
      <c r="J8" s="273">
        <v>0</v>
      </c>
      <c r="K8" s="273">
        <v>0</v>
      </c>
      <c r="L8" s="273">
        <v>0</v>
      </c>
      <c r="M8" s="273">
        <v>0</v>
      </c>
      <c r="N8" s="273">
        <v>0</v>
      </c>
      <c r="O8" s="273">
        <v>0</v>
      </c>
      <c r="P8" s="273">
        <v>0</v>
      </c>
      <c r="Q8" s="273">
        <v>0</v>
      </c>
      <c r="R8" s="273">
        <v>0</v>
      </c>
      <c r="S8" s="273">
        <v>0</v>
      </c>
      <c r="T8" s="273">
        <v>0</v>
      </c>
      <c r="U8" s="273">
        <f>118400-5095.89-4777.4</f>
        <v>108526.71</v>
      </c>
      <c r="V8" s="273">
        <f t="shared" ref="V8" si="1">SUM(B8:U8)</f>
        <v>108526.71</v>
      </c>
    </row>
    <row r="9" spans="1:22" ht="21" customHeight="1">
      <c r="A9" s="272" t="s">
        <v>149</v>
      </c>
      <c r="B9" s="273">
        <v>0</v>
      </c>
      <c r="C9" s="273">
        <v>0</v>
      </c>
      <c r="D9" s="273">
        <v>0</v>
      </c>
      <c r="E9" s="273">
        <v>0</v>
      </c>
      <c r="F9" s="273">
        <v>0</v>
      </c>
      <c r="G9" s="273">
        <v>0</v>
      </c>
      <c r="H9" s="273">
        <v>0</v>
      </c>
      <c r="I9" s="273">
        <v>0</v>
      </c>
      <c r="J9" s="273">
        <v>0</v>
      </c>
      <c r="K9" s="273">
        <v>0</v>
      </c>
      <c r="L9" s="273">
        <v>0</v>
      </c>
      <c r="M9" s="273">
        <v>0</v>
      </c>
      <c r="N9" s="273">
        <v>0</v>
      </c>
      <c r="O9" s="273">
        <v>0</v>
      </c>
      <c r="P9" s="273">
        <v>0</v>
      </c>
      <c r="Q9" s="273">
        <v>0</v>
      </c>
      <c r="R9" s="273">
        <v>0</v>
      </c>
      <c r="S9" s="273">
        <v>0</v>
      </c>
      <c r="T9" s="273">
        <v>0</v>
      </c>
      <c r="U9" s="273">
        <f>151850-10085</f>
        <v>141765</v>
      </c>
      <c r="V9" s="273">
        <f t="shared" ref="V9:V16" si="2">SUM(B9:U9)</f>
        <v>141765</v>
      </c>
    </row>
    <row r="10" spans="1:22" ht="21" customHeight="1">
      <c r="A10" s="272" t="s">
        <v>150</v>
      </c>
      <c r="B10" s="273">
        <v>0</v>
      </c>
      <c r="C10" s="273">
        <v>0</v>
      </c>
      <c r="D10" s="273">
        <v>0</v>
      </c>
      <c r="E10" s="273">
        <v>0</v>
      </c>
      <c r="F10" s="273">
        <v>0</v>
      </c>
      <c r="G10" s="273">
        <v>0</v>
      </c>
      <c r="H10" s="273">
        <v>0</v>
      </c>
      <c r="I10" s="273">
        <v>0</v>
      </c>
      <c r="J10" s="273">
        <v>0</v>
      </c>
      <c r="K10" s="273">
        <v>0</v>
      </c>
      <c r="L10" s="273">
        <v>0</v>
      </c>
      <c r="M10" s="273">
        <v>0</v>
      </c>
      <c r="N10" s="273">
        <v>0</v>
      </c>
      <c r="O10" s="273">
        <v>0</v>
      </c>
      <c r="P10" s="273">
        <v>0</v>
      </c>
      <c r="Q10" s="273">
        <v>0</v>
      </c>
      <c r="R10" s="273">
        <v>0</v>
      </c>
      <c r="S10" s="273">
        <v>0</v>
      </c>
      <c r="T10" s="273">
        <v>0</v>
      </c>
      <c r="U10" s="273">
        <f>8508000-1367600</f>
        <v>7140400</v>
      </c>
      <c r="V10" s="273">
        <f t="shared" ref="V10" si="3">SUM(B10:U10)</f>
        <v>7140400</v>
      </c>
    </row>
    <row r="11" spans="1:22" ht="21" customHeight="1">
      <c r="A11" s="272" t="s">
        <v>151</v>
      </c>
      <c r="B11" s="273">
        <v>0</v>
      </c>
      <c r="C11" s="273">
        <v>0</v>
      </c>
      <c r="D11" s="273">
        <v>0</v>
      </c>
      <c r="E11" s="273">
        <v>0</v>
      </c>
      <c r="F11" s="273">
        <v>0</v>
      </c>
      <c r="G11" s="273">
        <v>0</v>
      </c>
      <c r="H11" s="273">
        <v>0</v>
      </c>
      <c r="I11" s="273">
        <v>0</v>
      </c>
      <c r="J11" s="273">
        <v>0</v>
      </c>
      <c r="K11" s="273">
        <v>0</v>
      </c>
      <c r="L11" s="273">
        <v>0</v>
      </c>
      <c r="M11" s="273">
        <v>0</v>
      </c>
      <c r="N11" s="273">
        <v>0</v>
      </c>
      <c r="O11" s="273">
        <v>0</v>
      </c>
      <c r="P11" s="273">
        <v>0</v>
      </c>
      <c r="Q11" s="273">
        <v>0</v>
      </c>
      <c r="R11" s="273">
        <v>0</v>
      </c>
      <c r="S11" s="273">
        <v>0</v>
      </c>
      <c r="T11" s="273">
        <v>0</v>
      </c>
      <c r="U11" s="273">
        <f>1632000-285600</f>
        <v>1346400</v>
      </c>
      <c r="V11" s="273">
        <f t="shared" ref="V11" si="4">SUM(B11:U11)</f>
        <v>1346400</v>
      </c>
    </row>
    <row r="12" spans="1:22" ht="21" customHeight="1">
      <c r="A12" s="272" t="s">
        <v>152</v>
      </c>
      <c r="B12" s="273">
        <v>0</v>
      </c>
      <c r="C12" s="273">
        <v>0</v>
      </c>
      <c r="D12" s="273">
        <v>0</v>
      </c>
      <c r="E12" s="273">
        <v>0</v>
      </c>
      <c r="F12" s="273">
        <v>0</v>
      </c>
      <c r="G12" s="273">
        <v>0</v>
      </c>
      <c r="H12" s="273">
        <v>0</v>
      </c>
      <c r="I12" s="273">
        <v>0</v>
      </c>
      <c r="J12" s="273">
        <v>0</v>
      </c>
      <c r="K12" s="273">
        <v>0</v>
      </c>
      <c r="L12" s="273">
        <v>0</v>
      </c>
      <c r="M12" s="273">
        <v>0</v>
      </c>
      <c r="N12" s="273">
        <v>0</v>
      </c>
      <c r="O12" s="273">
        <v>0</v>
      </c>
      <c r="P12" s="273">
        <v>0</v>
      </c>
      <c r="Q12" s="273">
        <v>0</v>
      </c>
      <c r="R12" s="273">
        <v>0</v>
      </c>
      <c r="S12" s="273">
        <v>0</v>
      </c>
      <c r="T12" s="273">
        <v>0</v>
      </c>
      <c r="U12" s="273">
        <f>48000-8000</f>
        <v>40000</v>
      </c>
      <c r="V12" s="273">
        <f t="shared" si="2"/>
        <v>40000</v>
      </c>
    </row>
    <row r="13" spans="1:22" ht="21" customHeight="1">
      <c r="A13" s="272" t="s">
        <v>153</v>
      </c>
      <c r="B13" s="273">
        <v>0</v>
      </c>
      <c r="C13" s="273">
        <v>0</v>
      </c>
      <c r="D13" s="273">
        <v>0</v>
      </c>
      <c r="E13" s="273">
        <v>0</v>
      </c>
      <c r="F13" s="273">
        <v>0</v>
      </c>
      <c r="G13" s="273">
        <v>0</v>
      </c>
      <c r="H13" s="273">
        <v>0</v>
      </c>
      <c r="I13" s="273">
        <v>0</v>
      </c>
      <c r="J13" s="273">
        <v>0</v>
      </c>
      <c r="K13" s="273">
        <v>0</v>
      </c>
      <c r="L13" s="273">
        <v>0</v>
      </c>
      <c r="M13" s="273">
        <v>0</v>
      </c>
      <c r="N13" s="273">
        <v>0</v>
      </c>
      <c r="O13" s="273">
        <v>0</v>
      </c>
      <c r="P13" s="273">
        <v>0</v>
      </c>
      <c r="Q13" s="273">
        <v>0</v>
      </c>
      <c r="R13" s="273">
        <v>0</v>
      </c>
      <c r="S13" s="273">
        <v>0</v>
      </c>
      <c r="T13" s="273">
        <v>0</v>
      </c>
      <c r="U13" s="273">
        <v>445000</v>
      </c>
      <c r="V13" s="273">
        <f t="shared" si="2"/>
        <v>445000</v>
      </c>
    </row>
    <row r="14" spans="1:22" ht="21" customHeight="1">
      <c r="A14" s="272" t="s">
        <v>154</v>
      </c>
      <c r="B14" s="273">
        <v>0</v>
      </c>
      <c r="C14" s="273">
        <v>0</v>
      </c>
      <c r="D14" s="273">
        <v>0</v>
      </c>
      <c r="E14" s="273">
        <v>0</v>
      </c>
      <c r="F14" s="273">
        <v>0</v>
      </c>
      <c r="G14" s="273">
        <v>0</v>
      </c>
      <c r="H14" s="273">
        <v>0</v>
      </c>
      <c r="I14" s="273">
        <v>0</v>
      </c>
      <c r="J14" s="273">
        <v>0</v>
      </c>
      <c r="K14" s="273">
        <v>0</v>
      </c>
      <c r="L14" s="273">
        <v>0</v>
      </c>
      <c r="M14" s="273">
        <v>0</v>
      </c>
      <c r="N14" s="273">
        <v>0</v>
      </c>
      <c r="O14" s="273">
        <v>0</v>
      </c>
      <c r="P14" s="273">
        <v>0</v>
      </c>
      <c r="Q14" s="273">
        <v>0</v>
      </c>
      <c r="R14" s="273">
        <v>0</v>
      </c>
      <c r="S14" s="273">
        <v>0</v>
      </c>
      <c r="T14" s="273">
        <v>0</v>
      </c>
      <c r="U14" s="273">
        <f>1024300-718000-118400-25378.81</f>
        <v>162521.19</v>
      </c>
      <c r="V14" s="273">
        <f t="shared" si="2"/>
        <v>162521.19</v>
      </c>
    </row>
    <row r="15" spans="1:22" ht="21" customHeight="1">
      <c r="A15" s="272" t="s">
        <v>155</v>
      </c>
      <c r="B15" s="273">
        <v>0</v>
      </c>
      <c r="C15" s="273">
        <v>0</v>
      </c>
      <c r="D15" s="273">
        <v>0</v>
      </c>
      <c r="E15" s="273">
        <v>0</v>
      </c>
      <c r="F15" s="273">
        <v>0</v>
      </c>
      <c r="G15" s="273">
        <v>0</v>
      </c>
      <c r="H15" s="273">
        <v>0</v>
      </c>
      <c r="I15" s="273">
        <v>0</v>
      </c>
      <c r="J15" s="273">
        <v>0</v>
      </c>
      <c r="K15" s="273">
        <v>0</v>
      </c>
      <c r="L15" s="273">
        <v>0</v>
      </c>
      <c r="M15" s="273">
        <v>0</v>
      </c>
      <c r="N15" s="273">
        <v>0</v>
      </c>
      <c r="O15" s="273">
        <v>0</v>
      </c>
      <c r="P15" s="273">
        <v>0</v>
      </c>
      <c r="Q15" s="273">
        <v>0</v>
      </c>
      <c r="R15" s="273">
        <v>0</v>
      </c>
      <c r="S15" s="273">
        <v>0</v>
      </c>
      <c r="T15" s="273">
        <v>0</v>
      </c>
      <c r="U15" s="273">
        <f>318000-317128</f>
        <v>872</v>
      </c>
      <c r="V15" s="273">
        <f t="shared" si="2"/>
        <v>872</v>
      </c>
    </row>
    <row r="16" spans="1:22" s="276" customFormat="1" ht="21" customHeight="1">
      <c r="A16" s="274" t="s">
        <v>156</v>
      </c>
      <c r="B16" s="275">
        <f>SUM(B7:B15)</f>
        <v>0</v>
      </c>
      <c r="C16" s="275">
        <f>SUM(C7:C15)</f>
        <v>0</v>
      </c>
      <c r="D16" s="275">
        <f t="shared" ref="C16:U16" si="5">SUM(D7:D15)</f>
        <v>0</v>
      </c>
      <c r="E16" s="275">
        <f t="shared" si="5"/>
        <v>0</v>
      </c>
      <c r="F16" s="275">
        <f t="shared" si="5"/>
        <v>0</v>
      </c>
      <c r="G16" s="275">
        <f t="shared" si="5"/>
        <v>0</v>
      </c>
      <c r="H16" s="275">
        <f t="shared" si="5"/>
        <v>0</v>
      </c>
      <c r="I16" s="275">
        <f t="shared" si="5"/>
        <v>0</v>
      </c>
      <c r="J16" s="275">
        <f t="shared" si="5"/>
        <v>0</v>
      </c>
      <c r="K16" s="275">
        <f t="shared" si="5"/>
        <v>0</v>
      </c>
      <c r="L16" s="275">
        <f t="shared" si="5"/>
        <v>0</v>
      </c>
      <c r="M16" s="275">
        <f t="shared" si="5"/>
        <v>0</v>
      </c>
      <c r="N16" s="275">
        <f t="shared" si="5"/>
        <v>0</v>
      </c>
      <c r="O16" s="275">
        <f t="shared" si="5"/>
        <v>0</v>
      </c>
      <c r="P16" s="275">
        <f t="shared" si="5"/>
        <v>0</v>
      </c>
      <c r="Q16" s="275">
        <f t="shared" si="5"/>
        <v>0</v>
      </c>
      <c r="R16" s="275">
        <f t="shared" si="5"/>
        <v>0</v>
      </c>
      <c r="S16" s="275">
        <f t="shared" si="5"/>
        <v>0</v>
      </c>
      <c r="T16" s="275">
        <f t="shared" si="5"/>
        <v>0</v>
      </c>
      <c r="U16" s="275">
        <f t="shared" si="5"/>
        <v>10103484.9</v>
      </c>
      <c r="V16" s="273">
        <f t="shared" si="2"/>
        <v>10103484.9</v>
      </c>
    </row>
    <row r="17" spans="1:22" ht="21" customHeight="1">
      <c r="A17" s="277">
        <v>521000</v>
      </c>
      <c r="B17" s="278"/>
      <c r="C17" s="279"/>
      <c r="D17" s="279"/>
      <c r="E17" s="278"/>
      <c r="F17" s="278"/>
      <c r="G17" s="279"/>
      <c r="H17" s="279"/>
      <c r="I17" s="279"/>
      <c r="J17" s="278"/>
      <c r="K17" s="278"/>
      <c r="L17" s="278"/>
      <c r="M17" s="273"/>
      <c r="N17" s="273"/>
      <c r="O17" s="278"/>
      <c r="P17" s="278"/>
      <c r="Q17" s="278"/>
      <c r="R17" s="273"/>
      <c r="S17" s="273"/>
      <c r="T17" s="273"/>
      <c r="U17" s="275"/>
      <c r="V17" s="273"/>
    </row>
    <row r="18" spans="1:22" ht="21" customHeight="1">
      <c r="A18" s="280">
        <v>210100</v>
      </c>
      <c r="B18" s="281">
        <f>695520-57960-57960</f>
        <v>579600</v>
      </c>
      <c r="C18" s="281">
        <v>0</v>
      </c>
      <c r="D18" s="281">
        <v>0</v>
      </c>
      <c r="E18" s="281">
        <v>0</v>
      </c>
      <c r="F18" s="281">
        <v>0</v>
      </c>
      <c r="G18" s="281">
        <v>0</v>
      </c>
      <c r="H18" s="281">
        <v>0</v>
      </c>
      <c r="I18" s="281">
        <v>0</v>
      </c>
      <c r="J18" s="281">
        <v>0</v>
      </c>
      <c r="K18" s="281">
        <v>0</v>
      </c>
      <c r="L18" s="281">
        <v>0</v>
      </c>
      <c r="M18" s="281">
        <v>0</v>
      </c>
      <c r="N18" s="281">
        <v>0</v>
      </c>
      <c r="O18" s="281">
        <v>0</v>
      </c>
      <c r="P18" s="281">
        <v>0</v>
      </c>
      <c r="Q18" s="281">
        <v>0</v>
      </c>
      <c r="R18" s="281">
        <v>0</v>
      </c>
      <c r="S18" s="281">
        <v>0</v>
      </c>
      <c r="T18" s="281">
        <v>0</v>
      </c>
      <c r="U18" s="281">
        <v>0</v>
      </c>
      <c r="V18" s="273">
        <f t="shared" ref="V18:V23" si="6">SUM(B18:U18)</f>
        <v>579600</v>
      </c>
    </row>
    <row r="19" spans="1:22" ht="21" customHeight="1">
      <c r="A19" s="280">
        <v>210200</v>
      </c>
      <c r="B19" s="281">
        <f>120000-10000-10000</f>
        <v>100000</v>
      </c>
      <c r="C19" s="281">
        <v>0</v>
      </c>
      <c r="D19" s="281">
        <v>0</v>
      </c>
      <c r="E19" s="281">
        <v>0</v>
      </c>
      <c r="F19" s="281">
        <v>0</v>
      </c>
      <c r="G19" s="281">
        <v>0</v>
      </c>
      <c r="H19" s="281">
        <v>0</v>
      </c>
      <c r="I19" s="281">
        <v>0</v>
      </c>
      <c r="J19" s="281">
        <v>0</v>
      </c>
      <c r="K19" s="281">
        <v>0</v>
      </c>
      <c r="L19" s="281">
        <v>0</v>
      </c>
      <c r="M19" s="281">
        <v>0</v>
      </c>
      <c r="N19" s="281">
        <v>0</v>
      </c>
      <c r="O19" s="281">
        <v>0</v>
      </c>
      <c r="P19" s="281">
        <v>0</v>
      </c>
      <c r="Q19" s="281">
        <v>0</v>
      </c>
      <c r="R19" s="281">
        <v>0</v>
      </c>
      <c r="S19" s="281">
        <v>0</v>
      </c>
      <c r="T19" s="281">
        <v>0</v>
      </c>
      <c r="U19" s="281">
        <v>0</v>
      </c>
      <c r="V19" s="273">
        <f t="shared" si="6"/>
        <v>100000</v>
      </c>
    </row>
    <row r="20" spans="1:22" ht="21" customHeight="1">
      <c r="A20" s="280">
        <v>210300</v>
      </c>
      <c r="B20" s="281">
        <f>120000-10000-10000</f>
        <v>100000</v>
      </c>
      <c r="C20" s="281">
        <v>0</v>
      </c>
      <c r="D20" s="281">
        <v>0</v>
      </c>
      <c r="E20" s="281">
        <v>0</v>
      </c>
      <c r="F20" s="281">
        <v>0</v>
      </c>
      <c r="G20" s="281">
        <v>0</v>
      </c>
      <c r="H20" s="281">
        <v>0</v>
      </c>
      <c r="I20" s="281">
        <v>0</v>
      </c>
      <c r="J20" s="281">
        <v>0</v>
      </c>
      <c r="K20" s="281">
        <v>0</v>
      </c>
      <c r="L20" s="281">
        <v>0</v>
      </c>
      <c r="M20" s="281">
        <v>0</v>
      </c>
      <c r="N20" s="281">
        <v>0</v>
      </c>
      <c r="O20" s="281">
        <v>0</v>
      </c>
      <c r="P20" s="281">
        <v>0</v>
      </c>
      <c r="Q20" s="281">
        <v>0</v>
      </c>
      <c r="R20" s="281">
        <v>0</v>
      </c>
      <c r="S20" s="281">
        <f ca="1">'คงเหลือรายรับ (1)'!S16+'คงเหลือรายรับ (1)'!S23+'คงเหลือรายรับ (1)'!S31+'คงเหลือรายรับ (1)'!S37+'คงเหลือรายรับ (2)'!S9+'คงเหลือรายรับ (2)'!S23+'คงเหลือรายรับ (2)'!S29+'คงเหลือรายรับ (3)'!S8+'คงเหลือรายรับ (3)'!S12+'คงเหลือรายรับ (3)'!S15+'คงเหลือรายรับ (3)'!S19</f>
        <v>0</v>
      </c>
      <c r="T20" s="281">
        <v>0</v>
      </c>
      <c r="U20" s="281">
        <v>0</v>
      </c>
      <c r="V20" s="273">
        <f t="shared" ca="1" si="6"/>
        <v>100000</v>
      </c>
    </row>
    <row r="21" spans="1:22" ht="21" customHeight="1">
      <c r="A21" s="280">
        <v>210400</v>
      </c>
      <c r="B21" s="281">
        <f>198720-16560-16560</f>
        <v>165600</v>
      </c>
      <c r="C21" s="281">
        <v>0</v>
      </c>
      <c r="D21" s="281">
        <v>0</v>
      </c>
      <c r="E21" s="281">
        <v>0</v>
      </c>
      <c r="F21" s="281">
        <v>0</v>
      </c>
      <c r="G21" s="281">
        <v>0</v>
      </c>
      <c r="H21" s="281">
        <v>0</v>
      </c>
      <c r="I21" s="281">
        <v>0</v>
      </c>
      <c r="J21" s="281">
        <v>0</v>
      </c>
      <c r="K21" s="281">
        <v>0</v>
      </c>
      <c r="L21" s="281">
        <v>0</v>
      </c>
      <c r="M21" s="281">
        <v>0</v>
      </c>
      <c r="N21" s="281">
        <v>0</v>
      </c>
      <c r="O21" s="281">
        <v>0</v>
      </c>
      <c r="P21" s="281">
        <v>0</v>
      </c>
      <c r="Q21" s="281">
        <v>0</v>
      </c>
      <c r="R21" s="281">
        <v>0</v>
      </c>
      <c r="S21" s="281">
        <v>0</v>
      </c>
      <c r="T21" s="281">
        <v>0</v>
      </c>
      <c r="U21" s="281">
        <v>0</v>
      </c>
      <c r="V21" s="273">
        <f t="shared" si="6"/>
        <v>165600</v>
      </c>
    </row>
    <row r="22" spans="1:22" ht="21" customHeight="1">
      <c r="A22" s="280">
        <v>210600</v>
      </c>
      <c r="B22" s="281">
        <f>1490400-124200-124200</f>
        <v>1242000</v>
      </c>
      <c r="C22" s="281">
        <v>0</v>
      </c>
      <c r="D22" s="281">
        <v>0</v>
      </c>
      <c r="E22" s="281">
        <v>0</v>
      </c>
      <c r="F22" s="281">
        <v>0</v>
      </c>
      <c r="G22" s="281">
        <v>0</v>
      </c>
      <c r="H22" s="281">
        <v>0</v>
      </c>
      <c r="I22" s="281">
        <v>0</v>
      </c>
      <c r="J22" s="281">
        <v>0</v>
      </c>
      <c r="K22" s="281">
        <v>0</v>
      </c>
      <c r="L22" s="281">
        <v>0</v>
      </c>
      <c r="M22" s="281">
        <v>0</v>
      </c>
      <c r="N22" s="281">
        <v>0</v>
      </c>
      <c r="O22" s="281">
        <v>0</v>
      </c>
      <c r="P22" s="281">
        <v>0</v>
      </c>
      <c r="Q22" s="281">
        <v>0</v>
      </c>
      <c r="R22" s="281">
        <v>0</v>
      </c>
      <c r="S22" s="281">
        <v>0</v>
      </c>
      <c r="T22" s="281">
        <v>0</v>
      </c>
      <c r="U22" s="281">
        <v>0</v>
      </c>
      <c r="V22" s="273">
        <f t="shared" si="6"/>
        <v>1242000</v>
      </c>
    </row>
    <row r="23" spans="1:22" ht="21" customHeight="1">
      <c r="A23" s="274" t="s">
        <v>156</v>
      </c>
      <c r="B23" s="275">
        <f t="shared" ref="B23:U23" si="7">SUM(B18:B22)</f>
        <v>2187200</v>
      </c>
      <c r="C23" s="275">
        <f t="shared" si="7"/>
        <v>0</v>
      </c>
      <c r="D23" s="275">
        <f t="shared" si="7"/>
        <v>0</v>
      </c>
      <c r="E23" s="275">
        <f t="shared" si="7"/>
        <v>0</v>
      </c>
      <c r="F23" s="275">
        <f t="shared" si="7"/>
        <v>0</v>
      </c>
      <c r="G23" s="275">
        <f t="shared" si="7"/>
        <v>0</v>
      </c>
      <c r="H23" s="275">
        <f t="shared" si="7"/>
        <v>0</v>
      </c>
      <c r="I23" s="275">
        <f t="shared" si="7"/>
        <v>0</v>
      </c>
      <c r="J23" s="275">
        <f t="shared" si="7"/>
        <v>0</v>
      </c>
      <c r="K23" s="275">
        <f t="shared" si="7"/>
        <v>0</v>
      </c>
      <c r="L23" s="275">
        <f t="shared" si="7"/>
        <v>0</v>
      </c>
      <c r="M23" s="275">
        <f t="shared" si="7"/>
        <v>0</v>
      </c>
      <c r="N23" s="275">
        <f t="shared" si="7"/>
        <v>0</v>
      </c>
      <c r="O23" s="275">
        <f t="shared" si="7"/>
        <v>0</v>
      </c>
      <c r="P23" s="275">
        <f t="shared" si="7"/>
        <v>0</v>
      </c>
      <c r="Q23" s="275">
        <f t="shared" si="7"/>
        <v>0</v>
      </c>
      <c r="R23" s="275">
        <f t="shared" si="7"/>
        <v>0</v>
      </c>
      <c r="S23" s="275">
        <f t="shared" ca="1" si="7"/>
        <v>0</v>
      </c>
      <c r="T23" s="275">
        <f t="shared" si="7"/>
        <v>0</v>
      </c>
      <c r="U23" s="275">
        <f t="shared" si="7"/>
        <v>0</v>
      </c>
      <c r="V23" s="273">
        <f t="shared" ca="1" si="6"/>
        <v>2187200</v>
      </c>
    </row>
    <row r="24" spans="1:22" ht="21" customHeight="1">
      <c r="A24" s="277">
        <v>522000</v>
      </c>
      <c r="B24" s="278"/>
      <c r="C24" s="279"/>
      <c r="D24" s="279"/>
      <c r="E24" s="278"/>
      <c r="F24" s="278"/>
      <c r="G24" s="279"/>
      <c r="H24" s="279"/>
      <c r="I24" s="279"/>
      <c r="J24" s="278"/>
      <c r="K24" s="278"/>
      <c r="L24" s="278"/>
      <c r="M24" s="273"/>
      <c r="N24" s="273"/>
      <c r="O24" s="278"/>
      <c r="P24" s="278"/>
      <c r="Q24" s="278"/>
      <c r="R24" s="273"/>
      <c r="S24" s="273"/>
      <c r="T24" s="273"/>
      <c r="U24" s="275"/>
      <c r="V24" s="273"/>
    </row>
    <row r="25" spans="1:22" ht="21" customHeight="1">
      <c r="A25" s="280">
        <v>220100</v>
      </c>
      <c r="B25" s="281">
        <f>2294150-184360-184360</f>
        <v>1925430</v>
      </c>
      <c r="C25" s="281">
        <v>0</v>
      </c>
      <c r="D25" s="281">
        <f>1205760-96860-96860</f>
        <v>1012040</v>
      </c>
      <c r="E25" s="281">
        <v>0</v>
      </c>
      <c r="F25" s="281">
        <v>0</v>
      </c>
      <c r="G25" s="281">
        <f>1231680-96800-96800</f>
        <v>1038080</v>
      </c>
      <c r="H25" s="281">
        <v>0</v>
      </c>
      <c r="I25" s="281">
        <v>0</v>
      </c>
      <c r="J25" s="281">
        <v>0</v>
      </c>
      <c r="K25" s="281">
        <f>824160-65600-65600</f>
        <v>692960</v>
      </c>
      <c r="L25" s="281">
        <v>0</v>
      </c>
      <c r="M25" s="281">
        <v>0</v>
      </c>
      <c r="N25" s="281">
        <v>0</v>
      </c>
      <c r="O25" s="281">
        <v>0</v>
      </c>
      <c r="P25" s="281">
        <v>0</v>
      </c>
      <c r="Q25" s="281">
        <v>0</v>
      </c>
      <c r="R25" s="281">
        <v>0</v>
      </c>
      <c r="S25" s="281">
        <v>0</v>
      </c>
      <c r="T25" s="281">
        <v>0</v>
      </c>
      <c r="U25" s="281">
        <v>0</v>
      </c>
      <c r="V25" s="273">
        <f t="shared" ref="V25:V31" si="8">SUM(B25:U25)</f>
        <v>4668510</v>
      </c>
    </row>
    <row r="26" spans="1:22" ht="21" customHeight="1">
      <c r="A26" s="280">
        <v>220200</v>
      </c>
      <c r="B26" s="281">
        <f>84000-84000</f>
        <v>0</v>
      </c>
      <c r="C26" s="281">
        <v>0</v>
      </c>
      <c r="D26" s="281">
        <v>0</v>
      </c>
      <c r="E26" s="281">
        <v>0</v>
      </c>
      <c r="F26" s="281">
        <v>0</v>
      </c>
      <c r="G26" s="281">
        <v>0</v>
      </c>
      <c r="H26" s="281">
        <v>0</v>
      </c>
      <c r="I26" s="281">
        <v>0</v>
      </c>
      <c r="J26" s="281">
        <v>0</v>
      </c>
      <c r="K26" s="281">
        <v>0</v>
      </c>
      <c r="L26" s="281">
        <v>0</v>
      </c>
      <c r="M26" s="281">
        <v>0</v>
      </c>
      <c r="N26" s="281">
        <v>0</v>
      </c>
      <c r="O26" s="281">
        <v>0</v>
      </c>
      <c r="P26" s="281">
        <v>0</v>
      </c>
      <c r="Q26" s="281">
        <v>0</v>
      </c>
      <c r="R26" s="281">
        <v>0</v>
      </c>
      <c r="S26" s="281">
        <v>0</v>
      </c>
      <c r="T26" s="281">
        <v>0</v>
      </c>
      <c r="U26" s="281">
        <v>0</v>
      </c>
      <c r="V26" s="273">
        <f t="shared" si="8"/>
        <v>0</v>
      </c>
    </row>
    <row r="27" spans="1:22" ht="21" customHeight="1">
      <c r="A27" s="280">
        <v>220300</v>
      </c>
      <c r="B27" s="281">
        <f>168000-14000-14000</f>
        <v>140000</v>
      </c>
      <c r="C27" s="281">
        <v>0</v>
      </c>
      <c r="D27" s="281">
        <f>42000-3500-3500</f>
        <v>35000</v>
      </c>
      <c r="E27" s="281">
        <v>0</v>
      </c>
      <c r="F27" s="281">
        <v>0</v>
      </c>
      <c r="G27" s="281">
        <v>0</v>
      </c>
      <c r="H27" s="281">
        <v>0</v>
      </c>
      <c r="I27" s="281">
        <v>0</v>
      </c>
      <c r="J27" s="281">
        <v>0</v>
      </c>
      <c r="K27" s="281">
        <f>42000-3500-3500</f>
        <v>35000</v>
      </c>
      <c r="L27" s="281">
        <v>0</v>
      </c>
      <c r="M27" s="281">
        <v>0</v>
      </c>
      <c r="N27" s="281">
        <v>0</v>
      </c>
      <c r="O27" s="281">
        <v>0</v>
      </c>
      <c r="P27" s="281">
        <v>0</v>
      </c>
      <c r="Q27" s="281">
        <v>0</v>
      </c>
      <c r="R27" s="281">
        <v>0</v>
      </c>
      <c r="S27" s="281">
        <v>0</v>
      </c>
      <c r="T27" s="281">
        <v>0</v>
      </c>
      <c r="U27" s="281">
        <v>0</v>
      </c>
      <c r="V27" s="273">
        <f t="shared" si="8"/>
        <v>210000</v>
      </c>
    </row>
    <row r="28" spans="1:22" ht="21" customHeight="1">
      <c r="A28" s="280">
        <v>220700</v>
      </c>
      <c r="B28" s="281">
        <f>1066440-90000-54980-102420</f>
        <v>819040</v>
      </c>
      <c r="C28" s="281">
        <v>0</v>
      </c>
      <c r="D28" s="281">
        <f>411480-33800-33800</f>
        <v>343880</v>
      </c>
      <c r="E28" s="281">
        <v>0</v>
      </c>
      <c r="F28" s="281">
        <v>0</v>
      </c>
      <c r="G28" s="281">
        <f>735680-49090-71130</f>
        <v>615460</v>
      </c>
      <c r="H28" s="281">
        <v>0</v>
      </c>
      <c r="I28" s="281">
        <v>0</v>
      </c>
      <c r="J28" s="281">
        <v>0</v>
      </c>
      <c r="K28" s="281">
        <f>819360-67620-67620</f>
        <v>684120</v>
      </c>
      <c r="L28" s="281">
        <v>0</v>
      </c>
      <c r="M28" s="281">
        <v>0</v>
      </c>
      <c r="N28" s="281">
        <v>0</v>
      </c>
      <c r="O28" s="281">
        <v>0</v>
      </c>
      <c r="P28" s="281">
        <v>0</v>
      </c>
      <c r="Q28" s="281">
        <v>0</v>
      </c>
      <c r="R28" s="281">
        <v>0</v>
      </c>
      <c r="S28" s="281">
        <v>0</v>
      </c>
      <c r="T28" s="281">
        <v>0</v>
      </c>
      <c r="U28" s="281">
        <v>0</v>
      </c>
      <c r="V28" s="273">
        <f t="shared" si="8"/>
        <v>2462500</v>
      </c>
    </row>
    <row r="29" spans="1:22" ht="21" customHeight="1">
      <c r="A29" s="280">
        <v>220800</v>
      </c>
      <c r="B29" s="281">
        <f>70000-2000-7700</f>
        <v>60300</v>
      </c>
      <c r="C29" s="281">
        <v>0</v>
      </c>
      <c r="D29" s="281">
        <v>0</v>
      </c>
      <c r="E29" s="281">
        <v>0</v>
      </c>
      <c r="F29" s="281">
        <v>0</v>
      </c>
      <c r="G29" s="281">
        <f>65000-2165-6165</f>
        <v>56670</v>
      </c>
      <c r="H29" s="281">
        <v>0</v>
      </c>
      <c r="I29" s="281">
        <v>0</v>
      </c>
      <c r="J29" s="281">
        <v>0</v>
      </c>
      <c r="K29" s="281">
        <f>82800-6105-6105</f>
        <v>70590</v>
      </c>
      <c r="L29" s="281">
        <v>0</v>
      </c>
      <c r="M29" s="281">
        <v>0</v>
      </c>
      <c r="N29" s="281">
        <v>0</v>
      </c>
      <c r="O29" s="281">
        <v>0</v>
      </c>
      <c r="P29" s="281">
        <v>0</v>
      </c>
      <c r="Q29" s="281">
        <v>0</v>
      </c>
      <c r="R29" s="281">
        <v>0</v>
      </c>
      <c r="S29" s="281">
        <v>0</v>
      </c>
      <c r="T29" s="281">
        <v>0</v>
      </c>
      <c r="U29" s="281">
        <v>0</v>
      </c>
      <c r="V29" s="273">
        <f t="shared" ref="V29" si="9">SUM(B29:U29)</f>
        <v>187560</v>
      </c>
    </row>
    <row r="30" spans="1:22" ht="21" customHeight="1">
      <c r="A30" s="280">
        <v>221200</v>
      </c>
      <c r="B30" s="281">
        <f>84000-7000-7000</f>
        <v>70000</v>
      </c>
      <c r="C30" s="281">
        <v>0</v>
      </c>
      <c r="D30" s="281">
        <v>0</v>
      </c>
      <c r="E30" s="281">
        <v>0</v>
      </c>
      <c r="F30" s="281">
        <v>0</v>
      </c>
      <c r="G30" s="281">
        <v>0</v>
      </c>
      <c r="H30" s="281">
        <v>0</v>
      </c>
      <c r="I30" s="281">
        <v>0</v>
      </c>
      <c r="J30" s="281">
        <v>0</v>
      </c>
      <c r="K30" s="281">
        <v>0</v>
      </c>
      <c r="L30" s="281">
        <v>0</v>
      </c>
      <c r="M30" s="281">
        <v>0</v>
      </c>
      <c r="N30" s="281">
        <v>0</v>
      </c>
      <c r="O30" s="281">
        <v>0</v>
      </c>
      <c r="P30" s="281">
        <v>0</v>
      </c>
      <c r="Q30" s="281">
        <v>0</v>
      </c>
      <c r="R30" s="281">
        <v>0</v>
      </c>
      <c r="S30" s="281">
        <v>0</v>
      </c>
      <c r="T30" s="281">
        <v>0</v>
      </c>
      <c r="U30" s="281">
        <v>0</v>
      </c>
      <c r="V30" s="273">
        <f t="shared" si="8"/>
        <v>70000</v>
      </c>
    </row>
    <row r="31" spans="1:22" ht="21" customHeight="1">
      <c r="A31" s="274" t="s">
        <v>156</v>
      </c>
      <c r="B31" s="275">
        <f t="shared" ref="B31:U31" si="10">SUM(B25:B30)</f>
        <v>3014770</v>
      </c>
      <c r="C31" s="275">
        <f t="shared" si="10"/>
        <v>0</v>
      </c>
      <c r="D31" s="275">
        <f t="shared" si="10"/>
        <v>1390920</v>
      </c>
      <c r="E31" s="275">
        <f t="shared" si="10"/>
        <v>0</v>
      </c>
      <c r="F31" s="275">
        <f t="shared" si="10"/>
        <v>0</v>
      </c>
      <c r="G31" s="275">
        <f t="shared" si="10"/>
        <v>1710210</v>
      </c>
      <c r="H31" s="275">
        <f t="shared" si="10"/>
        <v>0</v>
      </c>
      <c r="I31" s="275">
        <f t="shared" si="10"/>
        <v>0</v>
      </c>
      <c r="J31" s="275">
        <f t="shared" si="10"/>
        <v>0</v>
      </c>
      <c r="K31" s="275">
        <f t="shared" si="10"/>
        <v>1482670</v>
      </c>
      <c r="L31" s="275">
        <f t="shared" si="10"/>
        <v>0</v>
      </c>
      <c r="M31" s="275">
        <f t="shared" si="10"/>
        <v>0</v>
      </c>
      <c r="N31" s="275">
        <f t="shared" si="10"/>
        <v>0</v>
      </c>
      <c r="O31" s="275">
        <f t="shared" si="10"/>
        <v>0</v>
      </c>
      <c r="P31" s="275">
        <f t="shared" si="10"/>
        <v>0</v>
      </c>
      <c r="Q31" s="275">
        <f t="shared" si="10"/>
        <v>0</v>
      </c>
      <c r="R31" s="275">
        <f t="shared" si="10"/>
        <v>0</v>
      </c>
      <c r="S31" s="275">
        <f t="shared" si="10"/>
        <v>0</v>
      </c>
      <c r="T31" s="275">
        <f t="shared" si="10"/>
        <v>0</v>
      </c>
      <c r="U31" s="275">
        <f t="shared" si="10"/>
        <v>0</v>
      </c>
      <c r="V31" s="273">
        <f t="shared" si="8"/>
        <v>7598570</v>
      </c>
    </row>
    <row r="32" spans="1:22" ht="21" customHeight="1">
      <c r="A32" s="282">
        <v>531000</v>
      </c>
      <c r="B32" s="283"/>
      <c r="C32" s="284"/>
      <c r="D32" s="284"/>
      <c r="E32" s="267"/>
      <c r="F32" s="267"/>
      <c r="G32" s="268"/>
      <c r="H32" s="268"/>
      <c r="I32" s="268"/>
      <c r="J32" s="267"/>
      <c r="K32" s="267"/>
      <c r="L32" s="283"/>
      <c r="M32" s="273"/>
      <c r="N32" s="273"/>
      <c r="O32" s="271"/>
      <c r="P32" s="267"/>
      <c r="Q32" s="267"/>
      <c r="R32" s="273"/>
      <c r="S32" s="273"/>
      <c r="T32" s="273"/>
      <c r="U32" s="283"/>
      <c r="V32" s="273"/>
    </row>
    <row r="33" spans="1:22" ht="21" customHeight="1">
      <c r="A33" s="280">
        <v>310100</v>
      </c>
      <c r="B33" s="281">
        <v>20000</v>
      </c>
      <c r="C33" s="281">
        <v>0</v>
      </c>
      <c r="D33" s="281">
        <v>2000</v>
      </c>
      <c r="E33" s="281">
        <v>0</v>
      </c>
      <c r="F33" s="281">
        <v>10000</v>
      </c>
      <c r="G33" s="281">
        <v>0</v>
      </c>
      <c r="H33" s="281">
        <v>0</v>
      </c>
      <c r="I33" s="281">
        <v>0</v>
      </c>
      <c r="J33" s="281">
        <v>0</v>
      </c>
      <c r="K33" s="281">
        <v>2000</v>
      </c>
      <c r="L33" s="281">
        <v>0</v>
      </c>
      <c r="M33" s="281">
        <v>0</v>
      </c>
      <c r="N33" s="281">
        <v>0</v>
      </c>
      <c r="O33" s="281">
        <v>0</v>
      </c>
      <c r="P33" s="281">
        <v>0</v>
      </c>
      <c r="Q33" s="281">
        <v>0</v>
      </c>
      <c r="R33" s="281">
        <v>0</v>
      </c>
      <c r="S33" s="281">
        <v>0</v>
      </c>
      <c r="T33" s="281">
        <v>0</v>
      </c>
      <c r="U33" s="281">
        <v>0</v>
      </c>
      <c r="V33" s="273">
        <f t="shared" ref="V33:V37" si="11">SUM(B33:U33)</f>
        <v>34000</v>
      </c>
    </row>
    <row r="34" spans="1:22" ht="21" customHeight="1">
      <c r="A34" s="280">
        <v>310300</v>
      </c>
      <c r="B34" s="281">
        <f>30000-1260</f>
        <v>28740</v>
      </c>
      <c r="C34" s="281">
        <v>0</v>
      </c>
      <c r="D34" s="281">
        <v>5000</v>
      </c>
      <c r="E34" s="281">
        <v>0</v>
      </c>
      <c r="F34" s="281">
        <v>0</v>
      </c>
      <c r="G34" s="281">
        <v>0</v>
      </c>
      <c r="H34" s="281">
        <v>0</v>
      </c>
      <c r="I34" s="281">
        <v>0</v>
      </c>
      <c r="J34" s="281">
        <v>0</v>
      </c>
      <c r="K34" s="281">
        <f>80000-7560</f>
        <v>72440</v>
      </c>
      <c r="L34" s="281">
        <v>0</v>
      </c>
      <c r="M34" s="281">
        <v>0</v>
      </c>
      <c r="N34" s="281">
        <v>0</v>
      </c>
      <c r="O34" s="281">
        <v>0</v>
      </c>
      <c r="P34" s="281">
        <v>0</v>
      </c>
      <c r="Q34" s="281">
        <v>0</v>
      </c>
      <c r="R34" s="281">
        <v>0</v>
      </c>
      <c r="S34" s="281">
        <v>0</v>
      </c>
      <c r="T34" s="281">
        <v>0</v>
      </c>
      <c r="U34" s="281">
        <v>0</v>
      </c>
      <c r="V34" s="273">
        <f t="shared" si="11"/>
        <v>106180</v>
      </c>
    </row>
    <row r="35" spans="1:22" ht="21" customHeight="1">
      <c r="A35" s="280">
        <v>310400</v>
      </c>
      <c r="B35" s="281">
        <f>126000-10500-10500</f>
        <v>105000</v>
      </c>
      <c r="C35" s="281">
        <v>0</v>
      </c>
      <c r="D35" s="281">
        <f>120000-9500-9500</f>
        <v>101000</v>
      </c>
      <c r="E35" s="281">
        <v>0</v>
      </c>
      <c r="F35" s="281">
        <v>0</v>
      </c>
      <c r="G35" s="281">
        <v>0</v>
      </c>
      <c r="H35" s="281">
        <v>0</v>
      </c>
      <c r="I35" s="281">
        <v>0</v>
      </c>
      <c r="J35" s="281">
        <v>0</v>
      </c>
      <c r="K35" s="281">
        <f>36000-3000-3000</f>
        <v>30000</v>
      </c>
      <c r="L35" s="281">
        <v>0</v>
      </c>
      <c r="M35" s="281">
        <v>0</v>
      </c>
      <c r="N35" s="281">
        <v>0</v>
      </c>
      <c r="O35" s="281">
        <v>0</v>
      </c>
      <c r="P35" s="281">
        <v>0</v>
      </c>
      <c r="Q35" s="281">
        <v>0</v>
      </c>
      <c r="R35" s="281">
        <v>0</v>
      </c>
      <c r="S35" s="281">
        <v>0</v>
      </c>
      <c r="T35" s="281">
        <v>0</v>
      </c>
      <c r="U35" s="281">
        <v>0</v>
      </c>
      <c r="V35" s="273">
        <f t="shared" si="11"/>
        <v>236000</v>
      </c>
    </row>
    <row r="36" spans="1:22" ht="21" customHeight="1">
      <c r="A36" s="280">
        <v>310500</v>
      </c>
      <c r="B36" s="281">
        <f>30000-1980-7950</f>
        <v>20070</v>
      </c>
      <c r="C36" s="281">
        <v>0</v>
      </c>
      <c r="D36" s="281">
        <v>0</v>
      </c>
      <c r="E36" s="281">
        <v>0</v>
      </c>
      <c r="F36" s="281">
        <v>0</v>
      </c>
      <c r="G36" s="281">
        <v>14400</v>
      </c>
      <c r="H36" s="281">
        <v>0</v>
      </c>
      <c r="I36" s="281">
        <v>0</v>
      </c>
      <c r="J36" s="281">
        <v>0</v>
      </c>
      <c r="K36" s="281">
        <v>5000</v>
      </c>
      <c r="L36" s="281">
        <v>0</v>
      </c>
      <c r="M36" s="281">
        <v>0</v>
      </c>
      <c r="N36" s="281">
        <v>0</v>
      </c>
      <c r="O36" s="281">
        <v>0</v>
      </c>
      <c r="P36" s="281">
        <v>0</v>
      </c>
      <c r="Q36" s="281">
        <v>0</v>
      </c>
      <c r="R36" s="281">
        <v>0</v>
      </c>
      <c r="S36" s="281">
        <v>0</v>
      </c>
      <c r="T36" s="281">
        <v>0</v>
      </c>
      <c r="U36" s="281">
        <v>0</v>
      </c>
      <c r="V36" s="273">
        <f t="shared" si="11"/>
        <v>39470</v>
      </c>
    </row>
    <row r="37" spans="1:22" ht="21" customHeight="1">
      <c r="A37" s="274" t="s">
        <v>156</v>
      </c>
      <c r="B37" s="275">
        <f t="shared" ref="B37:U37" si="12">SUM(B33:B36)</f>
        <v>173810</v>
      </c>
      <c r="C37" s="275">
        <f t="shared" si="12"/>
        <v>0</v>
      </c>
      <c r="D37" s="275">
        <f t="shared" si="12"/>
        <v>108000</v>
      </c>
      <c r="E37" s="275">
        <f t="shared" si="12"/>
        <v>0</v>
      </c>
      <c r="F37" s="275">
        <f t="shared" si="12"/>
        <v>10000</v>
      </c>
      <c r="G37" s="275">
        <f t="shared" si="12"/>
        <v>14400</v>
      </c>
      <c r="H37" s="275">
        <f t="shared" si="12"/>
        <v>0</v>
      </c>
      <c r="I37" s="275">
        <f t="shared" si="12"/>
        <v>0</v>
      </c>
      <c r="J37" s="275">
        <f t="shared" si="12"/>
        <v>0</v>
      </c>
      <c r="K37" s="275">
        <f t="shared" si="12"/>
        <v>109440</v>
      </c>
      <c r="L37" s="275">
        <f t="shared" si="12"/>
        <v>0</v>
      </c>
      <c r="M37" s="275">
        <f t="shared" si="12"/>
        <v>0</v>
      </c>
      <c r="N37" s="275">
        <f t="shared" si="12"/>
        <v>0</v>
      </c>
      <c r="O37" s="275">
        <f t="shared" si="12"/>
        <v>0</v>
      </c>
      <c r="P37" s="275">
        <f t="shared" si="12"/>
        <v>0</v>
      </c>
      <c r="Q37" s="275">
        <f t="shared" si="12"/>
        <v>0</v>
      </c>
      <c r="R37" s="275">
        <f t="shared" si="12"/>
        <v>0</v>
      </c>
      <c r="S37" s="275">
        <f t="shared" si="12"/>
        <v>0</v>
      </c>
      <c r="T37" s="275">
        <f t="shared" si="12"/>
        <v>0</v>
      </c>
      <c r="U37" s="275">
        <f t="shared" si="12"/>
        <v>0</v>
      </c>
      <c r="V37" s="273">
        <f t="shared" si="11"/>
        <v>415650</v>
      </c>
    </row>
    <row r="38" spans="1:22" ht="21" customHeight="1">
      <c r="A38" s="285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7"/>
    </row>
  </sheetData>
  <mergeCells count="10">
    <mergeCell ref="A1:V1"/>
    <mergeCell ref="A2:V2"/>
    <mergeCell ref="A3:V3"/>
    <mergeCell ref="B4:D4"/>
    <mergeCell ref="E4:F4"/>
    <mergeCell ref="G4:H4"/>
    <mergeCell ref="K4:L4"/>
    <mergeCell ref="M4:N4"/>
    <mergeCell ref="O4:Q4"/>
    <mergeCell ref="R4:S4"/>
  </mergeCells>
  <printOptions horizontalCentered="1"/>
  <pageMargins left="0" right="0" top="0.55118110236220474" bottom="0" header="0" footer="0"/>
  <pageSetup paperSize="9" scale="64" orientation="landscape" horizontalDpi="180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2</vt:i4>
      </vt:variant>
    </vt:vector>
  </HeadingPairs>
  <TitlesOfParts>
    <vt:vector size="13" baseType="lpstr">
      <vt:lpstr>รับ-จ่าย (2)</vt:lpstr>
      <vt:lpstr>งบทดลอง (2)</vt:lpstr>
      <vt:lpstr>รายรับจริง(มห.1) (2)</vt:lpstr>
      <vt:lpstr>เงินรับฝาก(มห.2)</vt:lpstr>
      <vt:lpstr>ประกอบผลการดำเนินงาน(มห.3)</vt:lpstr>
      <vt:lpstr>งบกระทบยอด092-2-70597-6</vt:lpstr>
      <vt:lpstr>งบกระทบยอด802-0-27701-3</vt:lpstr>
      <vt:lpstr>กระดาษทำการ(เงินรายรับ)</vt:lpstr>
      <vt:lpstr>คงเหลือรายรับ (1)</vt:lpstr>
      <vt:lpstr>คงเหลือรายรับ (2)</vt:lpstr>
      <vt:lpstr>คงเหลือรายรับ (3)</vt:lpstr>
      <vt:lpstr>'งบทดลอง (2)'!Print_Area</vt:lpstr>
      <vt:lpstr>'รับ-จ่าย (2)'!Print_Area</vt:lpstr>
    </vt:vector>
  </TitlesOfParts>
  <Company>sKz Community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sKzXP</dc:creator>
  <cp:lastModifiedBy>asia</cp:lastModifiedBy>
  <cp:lastPrinted>2018-06-12T07:17:52Z</cp:lastPrinted>
  <dcterms:created xsi:type="dcterms:W3CDTF">2013-12-04T04:18:04Z</dcterms:created>
  <dcterms:modified xsi:type="dcterms:W3CDTF">2018-10-04T03:34:26Z</dcterms:modified>
</cp:coreProperties>
</file>