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6150" activeTab="0"/>
  </bookViews>
  <sheets>
    <sheet name="รายงานรับ-จ่าย" sheetId="1" r:id="rId1"/>
    <sheet name="หมายเหตุรับ-จ่าย" sheetId="2" r:id="rId2"/>
    <sheet name="กระแสเงินสด" sheetId="3" r:id="rId3"/>
    <sheet name="งบกระทบยอดธนาคารธกส." sheetId="4" r:id="rId4"/>
    <sheet name="งบกระทบยอดธนาคารธกส. (2)" sheetId="5" r:id="rId5"/>
    <sheet name="งบกระทบยอดธนาคารกรุงไทย" sheetId="6" r:id="rId6"/>
    <sheet name="งบทดลอง" sheetId="7" r:id="rId7"/>
    <sheet name="หมายเหตุงบทดลอง" sheetId="8" r:id="rId8"/>
    <sheet name="5 ระบุวัตถุประสงค์" sheetId="9" r:id="rId9"/>
    <sheet name="กระดาษทำการ(เงินรายรับ)" sheetId="10" r:id="rId10"/>
    <sheet name="คงเหลือรายรับ" sheetId="11" r:id="rId11"/>
    <sheet name="กระดาษทำการเงินสะสม" sheetId="12" r:id="rId12"/>
    <sheet name="กระดาษทำการเงินอุดหนุนค้างจ่าย" sheetId="13" r:id="rId13"/>
    <sheet name="กระดาษทำการรายจ่ายค้างจ่าย" sheetId="14" r:id="rId14"/>
  </sheets>
  <definedNames>
    <definedName name="_xlnm.Print_Area" localSheetId="2">'กระแสเงินสด'!$A$1:$J$36</definedName>
  </definedNames>
  <calcPr fullCalcOnLoad="1"/>
</workbook>
</file>

<file path=xl/comments10.xml><?xml version="1.0" encoding="utf-8"?>
<comments xmlns="http://schemas.openxmlformats.org/spreadsheetml/2006/main">
  <authors>
    <author>com</author>
    <author>MoZarD</author>
    <author>user</author>
    <author>iLLuSioN</author>
    <author>CasperX</author>
  </authors>
  <commentList>
    <comment ref="B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B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D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I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I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L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O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O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
</t>
        </r>
      </text>
    </comment>
    <comment ref="B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L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O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B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I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L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M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O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
</t>
        </r>
      </text>
    </comment>
    <comment ref="B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L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O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B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I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O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N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N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N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N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N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N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L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M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L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งานบริหารทั่วไปเกี่ยวกับศาสนาวัฒนธรรมและนันทนาการ</t>
        </r>
      </text>
    </comment>
    <comment ref="M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
</t>
        </r>
      </text>
    </comment>
    <comment ref="A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
</t>
        </r>
      </text>
    </comment>
    <comment ref="A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เงินสมทบกองทุนประกันสังคม</t>
        </r>
      </text>
    </comment>
    <comment ref="A8" authorId="0">
      <text>
        <r>
          <rPr>
            <b/>
            <sz val="8"/>
            <rFont val="Tahoma"/>
            <family val="0"/>
          </rPr>
          <t>เบี้ยยังชีพคนชรา</t>
        </r>
      </text>
    </comment>
    <comment ref="A9" authorId="0">
      <text>
        <r>
          <rPr>
            <b/>
            <sz val="8"/>
            <rFont val="Tahoma"/>
            <family val="0"/>
          </rPr>
          <t>เบี้ยยังชีพคนพิการ</t>
        </r>
      </text>
    </comment>
    <comment ref="A11" authorId="0">
      <text>
        <r>
          <rPr>
            <b/>
            <sz val="8"/>
            <rFont val="Tahoma"/>
            <family val="0"/>
          </rPr>
          <t>สำรองจ่าย</t>
        </r>
      </text>
    </comment>
    <comment ref="A12" authorId="0">
      <text>
        <r>
          <rPr>
            <b/>
            <sz val="8"/>
            <rFont val="Tahoma"/>
            <family val="0"/>
          </rPr>
          <t>รายจ่ายตามข้อผูกพัน</t>
        </r>
      </text>
    </comment>
    <comment ref="A13" authorId="0">
      <text>
        <r>
          <rPr>
            <b/>
            <sz val="8"/>
            <rFont val="Tahoma"/>
            <family val="0"/>
          </rPr>
          <t>เงินสมทบ กบท.</t>
        </r>
      </text>
    </comment>
    <comment ref="A1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เงินเดือนฝ่ายการเมือง</t>
        </r>
      </text>
    </comment>
    <comment ref="A1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เงินเดือนนายก/รองนายก</t>
        </r>
      </text>
    </comment>
    <comment ref="A1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ค่าตอบแทนประจำตำแหน่งนายก/รองนายก</t>
        </r>
      </text>
    </comment>
    <comment ref="A1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ค่าตอบแทนพิเศษนายก/รองนายก</t>
        </r>
      </text>
    </comment>
    <comment ref="A2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ค่าตอบแทนเลขานุการนายก อบต.
</t>
        </r>
      </text>
    </comment>
    <comment ref="A2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ค่าตอบแทนสมาชิกสภา
</t>
        </r>
      </text>
    </comment>
    <comment ref="A2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เงินเดือนฝ่ายประจำ</t>
        </r>
      </text>
    </comment>
    <comment ref="A2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เงินเดือนพนักงาน</t>
        </r>
      </text>
    </comment>
    <comment ref="A2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เงินเพิ่มต่าง ๆ ของพนักงาน
</t>
        </r>
      </text>
    </comment>
    <comment ref="A2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เงินประจำตำแหน่ง</t>
        </r>
      </text>
    </comment>
    <comment ref="A30" authorId="1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เงินอื่น ๆ (เงินปรับเพิ่มตามวุฒิ)</t>
        </r>
      </text>
    </comment>
    <comment ref="A4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</t>
        </r>
      </text>
    </comment>
    <comment ref="A41" authorId="0">
      <text>
        <r>
          <rPr>
            <b/>
            <sz val="8"/>
            <rFont val="Tahoma"/>
            <family val="0"/>
          </rPr>
          <t>ค่าตอบแทนผู้ปฏิบัติราชการอันเป็นประโยชน์แก่อปท.</t>
        </r>
        <r>
          <rPr>
            <sz val="8"/>
            <rFont val="Tahoma"/>
            <family val="0"/>
          </rPr>
          <t xml:space="preserve">
</t>
        </r>
      </text>
    </comment>
    <comment ref="A42" authorId="2">
      <text>
        <r>
          <rPr>
            <b/>
            <sz val="8"/>
            <rFont val="Tahoma"/>
            <family val="0"/>
          </rPr>
          <t>ค่าเบี้ยประชุม</t>
        </r>
      </text>
    </comment>
    <comment ref="A43" authorId="0">
      <text>
        <r>
          <rPr>
            <b/>
            <sz val="8"/>
            <rFont val="Tahoma"/>
            <family val="0"/>
          </rPr>
          <t>ค่าตอบแทนนอกเวลาราชการ</t>
        </r>
      </text>
    </comment>
    <comment ref="A4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ค่าเช่าบ้าน</t>
        </r>
      </text>
    </comment>
    <comment ref="A4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เงินช่วยเหลือการศึกษาบุตร</t>
        </r>
      </text>
    </comment>
    <comment ref="A4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เงินช่วยเหลือค่ารักษาพยาบาล</t>
        </r>
      </text>
    </comment>
    <comment ref="A47" authorId="3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ประโยชน์ตอบแทนอื่น
</t>
        </r>
      </text>
    </comment>
    <comment ref="A5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ค่าใช้สอย</t>
        </r>
      </text>
    </comment>
    <comment ref="A5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รายจ่ายเพื่อให้ได้มาซึ่งบริการ</t>
        </r>
      </text>
    </comment>
    <comment ref="A5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รายจ่ายเกี่ยวกับการรับรองและพิธีการ</t>
        </r>
      </text>
    </comment>
    <comment ref="A5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รายจ่ายเกี่ยวเนื่องกับการปฏิบัติราชการที่ไม่เข้าลักษณะรายจ่ายหมวดอื่นๆ</t>
        </r>
      </text>
    </comment>
    <comment ref="A5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ค่าบำรุงรักษาและซ่อมแซม ทรัพย์สิน(วงเงินไม่เกิน 5,000  บาท)</t>
        </r>
      </text>
    </comment>
    <comment ref="A5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รายจ่ายเกี่ยวกับการรับรองและเลี้ยงรับรองในการประชุมสภา</t>
        </r>
      </text>
    </comment>
    <comment ref="A7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</t>
        </r>
      </text>
    </comment>
    <comment ref="A7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ค่าวัสดุสำนักงาน</t>
        </r>
      </text>
    </comment>
    <comment ref="A7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ค่าวัสดุไฟฟ้าและวิทยุ</t>
        </r>
      </text>
    </comment>
    <comment ref="A7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วัสดุงานบ้านงานครัว</t>
        </r>
      </text>
    </comment>
    <comment ref="A8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ค่าวัสดุก่อสร้าง</t>
        </r>
      </text>
    </comment>
    <comment ref="A8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วัสดุยานพาหนะและขนส่ง</t>
        </r>
      </text>
    </comment>
    <comment ref="A8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ค่าวัสดุเชื้อเพลิงและหล่อลื่น</t>
        </r>
      </text>
    </comment>
    <comment ref="A8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วัสดุวิทยาศาสตร์หรือการแพทย์</t>
        </r>
      </text>
    </comment>
    <comment ref="A8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วัสดุการเกษตร</t>
        </r>
      </text>
    </comment>
    <comment ref="A8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ค่าวัสดุโฆษณาและเผยแพร่</t>
        </r>
      </text>
    </comment>
    <comment ref="A8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วัสดุคอมพิวเตอร์</t>
        </r>
      </text>
    </comment>
    <comment ref="A8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วัสดุอื่น ๆ</t>
        </r>
      </text>
    </comment>
    <comment ref="A8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วัสดุเครื่องบริโภค</t>
        </r>
      </text>
    </comment>
    <comment ref="A9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ค่าสาธารณูปโภค</t>
        </r>
      </text>
    </comment>
    <comment ref="A9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ค่าไฟฟ้า</t>
        </r>
      </text>
    </comment>
    <comment ref="A9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ค่าโทรศัพท์</t>
        </r>
      </text>
    </comment>
    <comment ref="A9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ค่าไปรษณีย์ </t>
        </r>
      </text>
    </comment>
    <comment ref="A9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ค่าบริการด้านโทรคมนาคม</t>
        </r>
      </text>
    </comment>
    <comment ref="B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L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N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O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B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I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L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M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N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O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A11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ค่าครุภัณฑ์</t>
        </r>
      </text>
    </comment>
    <comment ref="A11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ครุภัณฑ์สำนักงาน</t>
        </r>
      </text>
    </comment>
    <comment ref="A11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ครุภัณฑ์ยานพาหนะและขนส่ง</t>
        </r>
      </text>
    </comment>
    <comment ref="A11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ครุภัณฑ์โฆษณาและเผยแพร่</t>
        </r>
      </text>
    </comment>
    <comment ref="A11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ครุภัณฑ์วิทยาศาสตร์หรือการแพทย์</t>
        </r>
      </text>
    </comment>
    <comment ref="A117" authorId="4">
      <text>
        <r>
          <rPr>
            <b/>
            <sz val="9"/>
            <rFont val="Tahoma"/>
            <family val="0"/>
          </rPr>
          <t>CasperX:</t>
        </r>
        <r>
          <rPr>
            <sz val="9"/>
            <rFont val="Tahoma"/>
            <family val="0"/>
          </rPr>
          <t xml:space="preserve">
ครุภัณฑ์งานบ้านงานครัว</t>
        </r>
      </text>
    </comment>
    <comment ref="A11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ครุภัณฑ์อื่นๆ</t>
        </r>
      </text>
    </comment>
    <comment ref="A121" authorId="1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ค่าที่ดินและสิ่งก่อสร้าง</t>
        </r>
      </text>
    </comment>
    <comment ref="A12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ค่าบำรุงรักษาและปรับปรุงที่ดินและสิ่งก่อสร้าง(วงเงินเกินกว่า 5,000  บาท)</t>
        </r>
      </text>
    </comment>
    <comment ref="A13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</t>
        </r>
      </text>
    </comment>
    <comment ref="A12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A12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P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P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P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P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P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P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P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P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E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E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E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E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E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E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E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E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G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H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H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H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H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K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งานบริหารทั่วไปเกี่ยวกับการสร้างความเข้มแย็งของชุมชน</t>
        </r>
      </text>
    </comment>
    <comment ref="K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A122" authorId="1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ค่าก่อสร้างสิ่งสาธารณูปโภค</t>
        </r>
      </text>
    </comment>
    <comment ref="A8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วัสดุสำรวจ</t>
        </r>
      </text>
    </comment>
    <comment ref="A28" authorId="1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ค่าจ้างพนักงานจ้าง</t>
        </r>
      </text>
    </comment>
    <comment ref="A13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เงินอุดหนุนส่วนราชการ
</t>
        </r>
      </text>
    </comment>
    <comment ref="A13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เงินอุดหนุนกิจการที่เป็นสาธารณประโยชน์</t>
        </r>
      </text>
    </comment>
    <comment ref="A10" authorId="0">
      <text>
        <r>
          <rPr>
            <b/>
            <sz val="8"/>
            <rFont val="Tahoma"/>
            <family val="0"/>
          </rPr>
          <t>เบี้ยยังชีพผู้ป่วยโรคเอดส์</t>
        </r>
      </text>
    </comment>
    <comment ref="F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F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F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F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K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งานบริหารทั่วไปเกี่ยวกับการสร้างความเข้มแย็งของชุมชน</t>
        </r>
      </text>
    </comment>
    <comment ref="K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งานบริหารทั่วไปเกี่ยวกับการสร้างความเข้มแย็งของชุมชน</t>
        </r>
      </text>
    </comment>
    <comment ref="K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งานบริหารทั่วไปเกี่ยวกับการสร้างความเข้มแย็งของชุมชน</t>
        </r>
      </text>
    </comment>
    <comment ref="A29" authorId="1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เงินเพิ่มพนักงานจ้าง</t>
        </r>
      </text>
    </comment>
  </commentList>
</comments>
</file>

<file path=xl/comments11.xml><?xml version="1.0" encoding="utf-8"?>
<comments xmlns="http://schemas.openxmlformats.org/spreadsheetml/2006/main">
  <authors>
    <author>com</author>
    <author>user</author>
    <author>iLLuSioN</author>
    <author>CasperX</author>
    <author>MoZarD</author>
  </authors>
  <commentList>
    <comment ref="A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
</t>
        </r>
      </text>
    </comment>
    <comment ref="A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เงินสมทบกองทุนประกันสังคม</t>
        </r>
      </text>
    </comment>
    <comment ref="A8" authorId="0">
      <text>
        <r>
          <rPr>
            <b/>
            <sz val="8"/>
            <rFont val="Tahoma"/>
            <family val="0"/>
          </rPr>
          <t>เบี้ยยังชีพคนชรา</t>
        </r>
      </text>
    </comment>
    <comment ref="A9" authorId="0">
      <text>
        <r>
          <rPr>
            <b/>
            <sz val="8"/>
            <rFont val="Tahoma"/>
            <family val="0"/>
          </rPr>
          <t>เบี้ยยังชีพคนพิการ</t>
        </r>
      </text>
    </comment>
    <comment ref="A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เงินเดือนฝ่ายการเมือง</t>
        </r>
      </text>
    </comment>
    <comment ref="A1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เงินเดือนนายก/รองนายก</t>
        </r>
      </text>
    </comment>
    <comment ref="A1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ค่าตอบแทนประจำตำแหน่งนายก/รองนายก</t>
        </r>
      </text>
    </comment>
    <comment ref="A1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ค่าตอบแทนพิเศษนายก/รองนายก</t>
        </r>
      </text>
    </comment>
    <comment ref="B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B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D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I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I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O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O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B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O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B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I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O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B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O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B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I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O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A2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ค่าตอบแทนสมาชิกสภา
</t>
        </r>
      </text>
    </comment>
    <comment ref="A9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ค่าไฟฟ้า</t>
        </r>
      </text>
    </comment>
    <comment ref="A5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ค่าใช้สอย</t>
        </r>
      </text>
    </comment>
    <comment ref="A5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รายจ่ายเพื่อให้ได้มาซึ่งบริการ</t>
        </r>
      </text>
    </comment>
    <comment ref="A5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รายจ่ายเกี่ยวกับการรับรองและพิธีการ</t>
        </r>
      </text>
    </comment>
    <comment ref="A5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รายจ่ายเกี่ยวเนื่องกับการปฏิบัติราชการที่ไม่เข้าลักษณะรายจ่ายหมวดอื่นๆ</t>
        </r>
      </text>
    </comment>
    <comment ref="A5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ค่าบำรุงรักษาและซ่อมแซม ทรัพย์สิน(วงเงินไม่เกิน 5,000  บาท)</t>
        </r>
      </text>
    </comment>
    <comment ref="A5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รายจ่ายเกี่ยวกับการรับรองและเลี้ยงรับรองในการประชุมสภา</t>
        </r>
      </text>
    </comment>
    <comment ref="A9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ค่าสาธารณูปโภค</t>
        </r>
      </text>
    </comment>
    <comment ref="A9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ค่าโทรศัพท์</t>
        </r>
      </text>
    </comment>
    <comment ref="A9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ค่าไปรษณีย์ </t>
        </r>
      </text>
    </comment>
    <comment ref="A9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ค่าบริการด้านโทรคมนาคม</t>
        </r>
      </text>
    </comment>
    <comment ref="P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P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P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P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P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P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M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N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A11" authorId="0">
      <text>
        <r>
          <rPr>
            <b/>
            <sz val="8"/>
            <rFont val="Tahoma"/>
            <family val="0"/>
          </rPr>
          <t>สำรองจ่าย</t>
        </r>
      </text>
    </comment>
    <comment ref="A12" authorId="0">
      <text>
        <r>
          <rPr>
            <b/>
            <sz val="8"/>
            <rFont val="Tahoma"/>
            <family val="0"/>
          </rPr>
          <t>รายจ่ายตามข้อผูกพัน</t>
        </r>
      </text>
    </comment>
    <comment ref="A13" authorId="0">
      <text>
        <r>
          <rPr>
            <b/>
            <sz val="8"/>
            <rFont val="Tahoma"/>
            <family val="0"/>
          </rPr>
          <t>เงินสมทบ กบท.</t>
        </r>
      </text>
    </comment>
    <comment ref="A1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ค่าตอบแทนเลขานุการนายก อบต.
</t>
        </r>
      </text>
    </comment>
    <comment ref="A2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เงินเดือนฝ่ายประจำ</t>
        </r>
      </text>
    </comment>
    <comment ref="A2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เงินเดือนพนักงาน</t>
        </r>
      </text>
    </comment>
    <comment ref="A2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เงินเพิ่มต่าง ๆ ของพนักงาน
</t>
        </r>
      </text>
    </comment>
    <comment ref="A2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เงินประจำตำแหน่ง</t>
        </r>
      </text>
    </comment>
    <comment ref="A4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</t>
        </r>
      </text>
    </comment>
    <comment ref="A41" authorId="0">
      <text>
        <r>
          <rPr>
            <b/>
            <sz val="8"/>
            <rFont val="Tahoma"/>
            <family val="0"/>
          </rPr>
          <t>ค่าตอบแทนผู้ปฏิบัติราชการอันเป็นประโยชน์แก่อปท.</t>
        </r>
        <r>
          <rPr>
            <sz val="8"/>
            <rFont val="Tahoma"/>
            <family val="0"/>
          </rPr>
          <t xml:space="preserve">
</t>
        </r>
      </text>
    </comment>
    <comment ref="A42" authorId="1">
      <text>
        <r>
          <rPr>
            <b/>
            <sz val="8"/>
            <rFont val="Tahoma"/>
            <family val="0"/>
          </rPr>
          <t>ค่าเบี้ยประชุม</t>
        </r>
      </text>
    </comment>
    <comment ref="A43" authorId="0">
      <text>
        <r>
          <rPr>
            <b/>
            <sz val="8"/>
            <rFont val="Tahoma"/>
            <family val="0"/>
          </rPr>
          <t>ค่าตอบแทนนอกเวลาราชการ</t>
        </r>
      </text>
    </comment>
    <comment ref="A4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ค่าเช่าบ้าน</t>
        </r>
      </text>
    </comment>
    <comment ref="A4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เงินช่วยเหลือการศึกษาบุตร</t>
        </r>
      </text>
    </comment>
    <comment ref="A4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เงินช่วยเหลือค่ารักษาพยาบาล</t>
        </r>
      </text>
    </comment>
    <comment ref="A48" authorId="2">
      <text>
        <r>
          <rPr>
            <sz val="8"/>
            <rFont val="Tahoma"/>
            <family val="0"/>
          </rPr>
          <t xml:space="preserve">ค่าตอบแทนการปฏิบัติงานในศูนย์หรือนอกศูนย์ อปพร.
</t>
        </r>
      </text>
    </comment>
    <comment ref="A7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</t>
        </r>
      </text>
    </comment>
    <comment ref="A7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ค่าวัสดุสำนักงาน</t>
        </r>
      </text>
    </comment>
    <comment ref="A7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ค่าวัสดุไฟฟ้าและวิทยุ</t>
        </r>
      </text>
    </comment>
    <comment ref="A8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วัสดุงานบ้านงานครัว</t>
        </r>
      </text>
    </comment>
    <comment ref="A8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ค่าวัสดุก่อสร้าง</t>
        </r>
      </text>
    </comment>
    <comment ref="A8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วัสดุยานพาหนะและขนส่ง</t>
        </r>
      </text>
    </comment>
    <comment ref="A8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ค่าวัสดุเชื้อเพลิงและหล่อลื่น</t>
        </r>
      </text>
    </comment>
    <comment ref="A8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วัสดุวิทยาศาสตร์หรือการแพทย์</t>
        </r>
      </text>
    </comment>
    <comment ref="A8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วัสดุการเกษตร</t>
        </r>
      </text>
    </comment>
    <comment ref="A8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ค่าวัสดุโฆษณาและเผยแพร่</t>
        </r>
      </text>
    </comment>
    <comment ref="A8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วัสดุคอมพิวเตอร์</t>
        </r>
      </text>
    </comment>
    <comment ref="A8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วัสดุอื่น ๆ</t>
        </r>
      </text>
    </comment>
    <comment ref="A8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วัสดุเครื่องบริโภค</t>
        </r>
      </text>
    </comment>
    <comment ref="B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O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P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B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I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O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P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A11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ค่าครุภัณฑ์</t>
        </r>
      </text>
    </comment>
    <comment ref="A11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ครุภัณฑ์สำนักงาน</t>
        </r>
      </text>
    </comment>
    <comment ref="A11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ครุภัณฑ์ยานพาหนะและขนส่ง</t>
        </r>
      </text>
    </comment>
    <comment ref="A11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ครุภัณฑ์โฆษณาและเผยแพร่</t>
        </r>
      </text>
    </comment>
    <comment ref="A12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ครุภัณฑ์วิทยาศาสตร์หรือการแพทย์</t>
        </r>
      </text>
    </comment>
    <comment ref="A121" authorId="3">
      <text>
        <r>
          <rPr>
            <b/>
            <sz val="9"/>
            <rFont val="Tahoma"/>
            <family val="0"/>
          </rPr>
          <t>CasperX:</t>
        </r>
        <r>
          <rPr>
            <sz val="9"/>
            <rFont val="Tahoma"/>
            <family val="0"/>
          </rPr>
          <t xml:space="preserve">
ครุภัณฑ์งานบ้านงานครัว</t>
        </r>
      </text>
    </comment>
    <comment ref="A12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ครุภัณฑ์อื่นๆ</t>
        </r>
      </text>
    </comment>
    <comment ref="A124" authorId="4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ค่าที่ดินและสิ่งก่อสร้าง</t>
        </r>
      </text>
    </comment>
    <comment ref="A12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ค่าบำรุงรักษาและปรับปรุงที่ดินและสิ่งก่อสร้าง(วงเงินเกินกว่า 5,000  บาท)</t>
        </r>
      </text>
    </comment>
    <comment ref="A13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</t>
        </r>
      </text>
    </comment>
    <comment ref="A13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เงินอุดหนุนกิจการที่เป็นสาธารณประโยชน์</t>
        </r>
      </text>
    </comment>
    <comment ref="A12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A12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Q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Q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Q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Q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Q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Q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Q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Q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F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F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F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F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G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H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งานบริหารทั่วไปเกี่ยวกับสังคมสงเคราะห์</t>
        </r>
      </text>
    </comment>
    <comment ref="H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K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งานบริหารทั่วไปเกี่ยวกับการสร้างความเข้มแข็งของชุมชน</t>
        </r>
      </text>
    </comment>
    <comment ref="K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งานบริหารทั่วไปเกี่ยวกับการสร้างความเข้มแข็งชุมชน</t>
        </r>
      </text>
    </comment>
    <comment ref="K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งานบริหารทั่วไปเกี่ยวกับการสร้างความเข้มแข็งของชุมชน</t>
        </r>
      </text>
    </comment>
    <comment ref="K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งานบริหารทั่วไปเกี่ยวกับการสร้างความเข้มแข็งของชุมชน</t>
        </r>
      </text>
    </comment>
    <comment ref="A28" authorId="4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เงินอื่นๆ (เงินปรับเพิ่มตามคุณวุฒิ)</t>
        </r>
      </text>
    </comment>
    <comment ref="M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N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M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N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M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N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A11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ครุภัณฑ์ไฟฟ้าและวิทยุ</t>
        </r>
      </text>
    </comment>
    <comment ref="A12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ค่าก่อสร้างสิ่งสาธารณูปโภค
</t>
        </r>
      </text>
    </comment>
    <comment ref="A9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วัสดุเครื่องบริโภค</t>
        </r>
      </text>
    </comment>
    <comment ref="A26" authorId="4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ค่าจ้างพนักงานจ้าง</t>
        </r>
      </text>
    </comment>
    <comment ref="A47" authorId="2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ประโยชน์ตอบแทนอื่น
</t>
        </r>
      </text>
    </comment>
    <comment ref="L5" authorId="4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งานบริหารทั่วไปเกี่ยวกับศาสนาวัฒนธรรมและนันทนาการ</t>
        </r>
      </text>
    </comment>
    <comment ref="L39" authorId="4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งานบริหารทั่วไปเกี่ยวกับศาสนาวัฒนธรรมและนันทนาการ</t>
        </r>
      </text>
    </comment>
    <comment ref="L76" authorId="4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งานบริหารทั่วไปเกี่ยวกับศาสนาวัฒนธรรมและนันทนาการ</t>
        </r>
      </text>
    </comment>
    <comment ref="L113" authorId="4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งานบริหารทั่วไปเกี่ยวกับศาสนาวัฒนธรรมและนันทนาการ</t>
        </r>
      </text>
    </comment>
    <comment ref="H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งานบริหารทั่วไปเกี่ยวกับสังคมสงเคราะห์</t>
        </r>
      </text>
    </comment>
    <comment ref="H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งานบริหารทั่วไปเกี่ยวกับสังคมสงเคราะห์</t>
        </r>
      </text>
    </comment>
    <comment ref="H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งานบริหารทั่วไปเกี่ยวกับสังคมสงเคราะห์</t>
        </r>
      </text>
    </comment>
    <comment ref="E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E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E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E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E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E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E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E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A13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เงินอุดหนุนส่วนราชการ
</t>
        </r>
      </text>
    </comment>
    <comment ref="A11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ครุภัณฑ์การเกษตร</t>
        </r>
      </text>
    </comment>
    <comment ref="A10" authorId="0">
      <text>
        <r>
          <rPr>
            <b/>
            <sz val="8"/>
            <rFont val="Tahoma"/>
            <family val="0"/>
          </rPr>
          <t>เบี้ยยังชีพผู้ป่วยโรคเอดส์</t>
        </r>
      </text>
    </comment>
    <comment ref="A27" authorId="4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เงินเพิ่มพนักงานจ้าง</t>
        </r>
      </text>
    </comment>
  </commentList>
</comments>
</file>

<file path=xl/comments12.xml><?xml version="1.0" encoding="utf-8"?>
<comments xmlns="http://schemas.openxmlformats.org/spreadsheetml/2006/main">
  <authors>
    <author>com</author>
    <author>user</author>
  </authors>
  <commentList>
    <comment ref="A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
</t>
        </r>
      </text>
    </comment>
    <comment ref="A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รายจ่ายตามข้อผูกพัน</t>
        </r>
      </text>
    </comment>
    <comment ref="B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B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A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</t>
        </r>
      </text>
    </comment>
    <comment ref="A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เงินเดือนนายก/รองนายก</t>
        </r>
      </text>
    </comment>
    <comment ref="C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C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D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E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E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F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G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G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H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I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I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J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M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M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N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N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O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O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P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P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B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C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E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G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I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K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M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N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O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P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B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C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D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E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F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G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H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I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J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K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M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N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O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P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A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ค่าไฟฟ้า</t>
        </r>
      </text>
    </comment>
    <comment ref="A5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ค่าจ้างที่ปรึกษา</t>
        </r>
      </text>
    </comment>
    <comment ref="A1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ค่าจ้างชั่วคราว</t>
        </r>
      </text>
    </comment>
    <comment ref="A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เงินเดือนพนักงาน</t>
        </r>
      </text>
    </comment>
    <comment ref="A1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</t>
        </r>
      </text>
    </comment>
    <comment ref="A1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ค่าตอบแทนนอกเวลาราชการ
</t>
        </r>
      </text>
    </comment>
    <comment ref="A2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ค่าใช้สอย</t>
        </r>
      </text>
    </comment>
    <comment ref="A2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รายจ่ายเพื่อให้ได้มาซึ่งบริการ
</t>
        </r>
      </text>
    </comment>
    <comment ref="A4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ครุภัณฑ์สำนักงาน</t>
        </r>
      </text>
    </comment>
    <comment ref="A4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อาคารต่าง ๆ
</t>
        </r>
      </text>
    </comment>
    <comment ref="A5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 อปท.</t>
        </r>
      </text>
    </comment>
    <comment ref="L3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งานศึกษาไม่กำหนดระดับ</t>
        </r>
      </text>
    </comment>
    <comment ref="K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K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L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งานศึกษาไม่กำหนดระดับ</t>
        </r>
      </text>
    </comment>
    <comment ref="A2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วัสดุไฟฟ้าและวิทยุ
</t>
        </r>
      </text>
    </comment>
  </commentList>
</comments>
</file>

<file path=xl/comments13.xml><?xml version="1.0" encoding="utf-8"?>
<comments xmlns="http://schemas.openxmlformats.org/spreadsheetml/2006/main">
  <authors>
    <author>com</author>
    <author>user</author>
  </authors>
  <commentList>
    <comment ref="A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
</t>
        </r>
      </text>
    </comment>
    <comment ref="A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รายจ่ายตามข้อผูกพัน</t>
        </r>
      </text>
    </comment>
    <comment ref="B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B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A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</t>
        </r>
      </text>
    </comment>
    <comment ref="A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เงินเดือนนายก/รองนายก</t>
        </r>
      </text>
    </comment>
    <comment ref="C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C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D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E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E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F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G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G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H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I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I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J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M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M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N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N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O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O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P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P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B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C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E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G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I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K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M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N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O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P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B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C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D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E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F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G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H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I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J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K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M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N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O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P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A4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ค่าไฟฟ้า</t>
        </r>
      </text>
    </comment>
    <comment ref="A5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ค่าจ้างที่ปรึกษา</t>
        </r>
      </text>
    </comment>
    <comment ref="A1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ค่าจ้างชั่วคราว</t>
        </r>
      </text>
    </comment>
    <comment ref="A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เงินเดือนพนักงาน</t>
        </r>
      </text>
    </comment>
    <comment ref="A1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</t>
        </r>
      </text>
    </comment>
    <comment ref="A1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ค่าตอบแทนนอกเวลาราชการ
</t>
        </r>
      </text>
    </comment>
    <comment ref="A2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ค่าใช้สอย</t>
        </r>
      </text>
    </comment>
    <comment ref="A2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รายจ่ายเพื่อให้ได้มาซึ่งบริการ
</t>
        </r>
      </text>
    </comment>
    <comment ref="A2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วัสดุอื่น ๆ
</t>
        </r>
      </text>
    </comment>
    <comment ref="A4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ครุภัณฑ์สำนักงาน</t>
        </r>
      </text>
    </comment>
    <comment ref="A4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อาคารต่าง ๆ
</t>
        </r>
      </text>
    </comment>
    <comment ref="L3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งานศึกษาไม่กำหนดระดับ</t>
        </r>
      </text>
    </comment>
    <comment ref="K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K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L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งานศึกษาไม่กำหนดระดับ</t>
        </r>
      </text>
    </comment>
    <comment ref="A2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รายจ่ายไม่เข้าหมวดอื่น ๆ
</t>
        </r>
      </text>
    </comment>
    <comment ref="A5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 อปท.</t>
        </r>
      </text>
    </comment>
  </commentList>
</comments>
</file>

<file path=xl/comments14.xml><?xml version="1.0" encoding="utf-8"?>
<comments xmlns="http://schemas.openxmlformats.org/spreadsheetml/2006/main">
  <authors>
    <author>com</author>
    <author>user</author>
    <author>MoZarD</author>
  </authors>
  <commentList>
    <comment ref="B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B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D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E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I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I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L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L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M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N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N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B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L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N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B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E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I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L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M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N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O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O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O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O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F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F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F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F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G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H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H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K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K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A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
</t>
        </r>
      </text>
    </comment>
    <comment ref="A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เบี้ยยังชีพคนชรา
</t>
        </r>
      </text>
    </comment>
    <comment ref="A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เงินเดือนฝ่ายการเมือง</t>
        </r>
      </text>
    </comment>
    <comment ref="A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เงินเดือนนายก/รองนายก</t>
        </r>
      </text>
    </comment>
    <comment ref="A1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เงินเดือนฝ่ายประจำ</t>
        </r>
      </text>
    </comment>
    <comment ref="A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เงินเดือนพนักงาน</t>
        </r>
      </text>
    </comment>
    <comment ref="A1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</t>
        </r>
      </text>
    </comment>
    <comment ref="A19" authorId="0">
      <text>
        <r>
          <rPr>
            <b/>
            <sz val="8"/>
            <rFont val="Tahoma"/>
            <family val="0"/>
          </rPr>
          <t>ค่าตอบแทนผู้ปฏิบัติราชการอันเป็นประโยชน์แก่อปท.</t>
        </r>
        <r>
          <rPr>
            <sz val="8"/>
            <rFont val="Tahoma"/>
            <family val="0"/>
          </rPr>
          <t xml:space="preserve">
</t>
        </r>
      </text>
    </comment>
    <comment ref="A2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ค่าใช้สอย</t>
        </r>
      </text>
    </comment>
    <comment ref="A2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รายจ่ายเพื่อให้ได้มาซึ่งบริการ</t>
        </r>
      </text>
    </comment>
    <comment ref="A2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</t>
        </r>
      </text>
    </comment>
    <comment ref="A3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ค่าสาธารณูปโภค</t>
        </r>
      </text>
    </comment>
    <comment ref="A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ค่าไฟฟ้า</t>
        </r>
      </text>
    </comment>
    <comment ref="A4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ค่าครุภัณฑ์</t>
        </r>
      </text>
    </comment>
    <comment ref="A4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ครุภัณฑ์สำนักงาน</t>
        </r>
      </text>
    </comment>
    <comment ref="A46" authorId="2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ค่าที่ดินและสิ่งก่อสร้าง</t>
        </r>
      </text>
    </comment>
    <comment ref="A5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A5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A5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</t>
        </r>
      </text>
    </comment>
    <comment ref="A5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เงินอุดหนุนองค์กรปกครองส่วนท้องถิ่น</t>
        </r>
      </text>
    </comment>
    <comment ref="A4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ค่าบำรุงรักษาและปรับปรุงที่ดินและสิ่งก่อสร้าง(วงเงินเกินกว่า 5,000  บาท)</t>
        </r>
      </text>
    </comment>
    <comment ref="A4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ค่าก่อสร้างสิ่งสาธารณูปโภค
</t>
        </r>
      </text>
    </comment>
    <comment ref="A2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วัสดุอื่น ๆ</t>
        </r>
      </text>
    </comment>
  </commentList>
</comments>
</file>

<file path=xl/sharedStrings.xml><?xml version="1.0" encoding="utf-8"?>
<sst xmlns="http://schemas.openxmlformats.org/spreadsheetml/2006/main" count="1252" uniqueCount="371">
  <si>
    <t>องค์การบริหารส่วนตำบลเกาะทวด</t>
  </si>
  <si>
    <r>
      <t xml:space="preserve">                  </t>
    </r>
    <r>
      <rPr>
        <b/>
        <sz val="18"/>
        <rFont val="Cordia New"/>
        <family val="2"/>
      </rPr>
      <t>งบกระทบยอดเงินฝากธนาคาร</t>
    </r>
  </si>
  <si>
    <t xml:space="preserve">            บาท</t>
  </si>
  <si>
    <t xml:space="preserve">             บาท</t>
  </si>
  <si>
    <t>บวก : เงินฝากระหว่างทาง</t>
  </si>
  <si>
    <t>หัก : เช็คจ่ายที่ผู้รับยังไม่นำมาขึ้นเงินกับธนาคาร</t>
  </si>
  <si>
    <t>รายละเอียด</t>
  </si>
  <si>
    <t>ผู้จัดทำ</t>
  </si>
  <si>
    <r>
      <t xml:space="preserve">  </t>
    </r>
    <r>
      <rPr>
        <b/>
        <sz val="16"/>
        <rFont val="Cordia New"/>
        <family val="2"/>
      </rPr>
      <t>ผู้ตรวจสอบ</t>
    </r>
  </si>
  <si>
    <r>
      <t xml:space="preserve">             </t>
    </r>
    <r>
      <rPr>
        <b/>
        <sz val="16"/>
        <rFont val="Cordia New"/>
        <family val="2"/>
      </rPr>
      <t xml:space="preserve">ธนาคาร   </t>
    </r>
    <r>
      <rPr>
        <sz val="16"/>
        <rFont val="Cordia New"/>
        <family val="2"/>
      </rPr>
      <t>ธกส.  ออมทรัพย์</t>
    </r>
  </si>
  <si>
    <r>
      <t xml:space="preserve">             </t>
    </r>
    <r>
      <rPr>
        <b/>
        <sz val="16"/>
        <rFont val="Cordia New"/>
        <family val="2"/>
      </rPr>
      <t xml:space="preserve">เลขที่บัญชี  </t>
    </r>
    <r>
      <rPr>
        <sz val="16"/>
        <rFont val="Cordia New"/>
        <family val="2"/>
      </rPr>
      <t>092-2-70597-6</t>
    </r>
  </si>
  <si>
    <r>
      <t xml:space="preserve">     </t>
    </r>
    <r>
      <rPr>
        <b/>
        <u val="single"/>
        <sz val="16"/>
        <rFont val="Cordia New"/>
        <family val="2"/>
      </rPr>
      <t xml:space="preserve">วันที่ลงบัญชี </t>
    </r>
    <r>
      <rPr>
        <u val="single"/>
        <sz val="16"/>
        <rFont val="Cordia New"/>
        <family val="2"/>
      </rPr>
      <t xml:space="preserve"> </t>
    </r>
    <r>
      <rPr>
        <sz val="16"/>
        <rFont val="Cordia New"/>
        <family val="2"/>
      </rPr>
      <t xml:space="preserve">                          </t>
    </r>
    <r>
      <rPr>
        <b/>
        <u val="single"/>
        <sz val="16"/>
        <rFont val="Cordia New"/>
        <family val="2"/>
      </rPr>
      <t>วันที่ฝากธนาคาร</t>
    </r>
    <r>
      <rPr>
        <u val="single"/>
        <sz val="16"/>
        <rFont val="Cordia New"/>
        <family val="2"/>
      </rPr>
      <t xml:space="preserve"> </t>
    </r>
    <r>
      <rPr>
        <sz val="16"/>
        <rFont val="Cordia New"/>
        <family val="2"/>
      </rPr>
      <t xml:space="preserve">                     </t>
    </r>
    <r>
      <rPr>
        <b/>
        <u val="single"/>
        <sz val="16"/>
        <rFont val="Cordia New"/>
        <family val="2"/>
      </rPr>
      <t>จำนวนเงิน</t>
    </r>
  </si>
  <si>
    <r>
      <t xml:space="preserve">     </t>
    </r>
    <r>
      <rPr>
        <b/>
        <u val="single"/>
        <sz val="16"/>
        <rFont val="Cordia New"/>
        <family val="2"/>
      </rPr>
      <t>วันที่</t>
    </r>
    <r>
      <rPr>
        <u val="single"/>
        <sz val="16"/>
        <rFont val="Cordia New"/>
        <family val="2"/>
      </rPr>
      <t xml:space="preserve"> </t>
    </r>
    <r>
      <rPr>
        <sz val="16"/>
        <rFont val="Cordia New"/>
        <family val="2"/>
      </rPr>
      <t xml:space="preserve">                                     </t>
    </r>
    <r>
      <rPr>
        <b/>
        <u val="single"/>
        <sz val="16"/>
        <rFont val="Cordia New"/>
        <family val="2"/>
      </rPr>
      <t>เลขที่เช็ค</t>
    </r>
    <r>
      <rPr>
        <sz val="16"/>
        <rFont val="Cordia New"/>
        <family val="2"/>
      </rPr>
      <t xml:space="preserve">                                    </t>
    </r>
    <r>
      <rPr>
        <b/>
        <u val="single"/>
        <sz val="16"/>
        <rFont val="Cordia New"/>
        <family val="2"/>
      </rPr>
      <t>จำนวนเงิน</t>
    </r>
  </si>
  <si>
    <t>กระดาษทำการกระทบยอด</t>
  </si>
  <si>
    <t>รายจ่ายตามงบประมาณ (จ่ายจากเงินรายรับ)</t>
  </si>
  <si>
    <t>แผนงาน/งาน</t>
  </si>
  <si>
    <t>รวม</t>
  </si>
  <si>
    <t>หมวด/ประเภท</t>
  </si>
  <si>
    <t>รวมเดือนนี้</t>
  </si>
  <si>
    <t>รวมแต่ต้นปี</t>
  </si>
  <si>
    <t xml:space="preserve">  - 2 -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</si>
  <si>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</si>
  <si>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</si>
  <si>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</si>
  <si>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</si>
  <si>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</si>
  <si>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</si>
  <si>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</t>
  </si>
  <si>
    <t>บาท</t>
  </si>
  <si>
    <t>บัญชี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</si>
  <si>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</si>
  <si>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</si>
  <si>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</si>
  <si>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</si>
  <si>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</si>
  <si>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</si>
  <si>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</si>
  <si>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</si>
  <si>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</si>
  <si>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รายได้ค้างรับ</t>
  </si>
  <si>
    <t>ลูกหนี้เงินยืม - เงินงบประมาณ</t>
  </si>
  <si>
    <t>เงินสะสม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</si>
  <si>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</si>
  <si>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</si>
  <si>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</si>
  <si>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</si>
  <si>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</si>
  <si>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</si>
  <si>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ค่าครุภัณฑ์</t>
  </si>
  <si>
    <t>ค่าที่ดินและสิ่งก่อสร้าง</t>
  </si>
  <si>
    <t>ลูกหนี้เงินยืม - งบประมาณ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</si>
  <si>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</si>
  <si>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</si>
  <si>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</si>
  <si>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</si>
  <si>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</si>
  <si>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หมายเหตุ 1</t>
  </si>
  <si>
    <t>บัญชีเงินรับฝาก</t>
  </si>
  <si>
    <t xml:space="preserve"> องค์การบริหารส่วนตำบลเกาะทวด</t>
  </si>
  <si>
    <t>งบทดลอง</t>
  </si>
  <si>
    <t>รหัสบัญชี</t>
  </si>
  <si>
    <t>เดบิท</t>
  </si>
  <si>
    <t>เครดิต</t>
  </si>
  <si>
    <t>เงินฝากธนาคาร ธกส. ออมทรัพย์ 092-2-70597-6</t>
  </si>
  <si>
    <t>เงินฝากธนาคารกรุงไทยกระแสรายวัน 802-6-01897-4</t>
  </si>
  <si>
    <t>ค่าสาธารณูปโภค</t>
  </si>
  <si>
    <t>เงินทุนสำรองเงินสะสม</t>
  </si>
  <si>
    <t>รายจ่ายอื่น</t>
  </si>
  <si>
    <t>-</t>
  </si>
  <si>
    <t>-3-</t>
  </si>
  <si>
    <t>รวมทั้งสิ้นเดือนนี้</t>
  </si>
  <si>
    <t>รวมทั้งสินแต่ต้นปี</t>
  </si>
  <si>
    <t>-2-</t>
  </si>
  <si>
    <t>00121</t>
  </si>
  <si>
    <t>00123</t>
  </si>
  <si>
    <t>00241</t>
  </si>
  <si>
    <t>00242</t>
  </si>
  <si>
    <t>00410</t>
  </si>
  <si>
    <t>00411</t>
  </si>
  <si>
    <t>00110</t>
  </si>
  <si>
    <t>00111</t>
  </si>
  <si>
    <t>00113</t>
  </si>
  <si>
    <t>00120</t>
  </si>
  <si>
    <t>00240</t>
  </si>
  <si>
    <t>00260</t>
  </si>
  <si>
    <t>00262</t>
  </si>
  <si>
    <t>00263</t>
  </si>
  <si>
    <t>00211</t>
  </si>
  <si>
    <t>00210</t>
  </si>
  <si>
    <t>00220</t>
  </si>
  <si>
    <t>00221</t>
  </si>
  <si>
    <t>00232</t>
  </si>
  <si>
    <t>00230</t>
  </si>
  <si>
    <t>00250</t>
  </si>
  <si>
    <t>00252</t>
  </si>
  <si>
    <t>00321</t>
  </si>
  <si>
    <t>00320</t>
  </si>
  <si>
    <t>หัวหน้าส่วนการคลัง</t>
  </si>
  <si>
    <t>ตรวจถูกต้อง</t>
  </si>
  <si>
    <t>(นายวรรณรัตน์  มณีโชติ)</t>
  </si>
  <si>
    <t>งบประมาณคงเหลือ (จ่ายจากเงินรายรับ)</t>
  </si>
  <si>
    <t>รวมทั้งสิ้นแต่ต้นปี</t>
  </si>
  <si>
    <t>บวก : หรือ (หัก) รายการกระทบยอดอื่น ๆ</t>
  </si>
  <si>
    <t>รายจ่ายตามงบประมาณ (จ่ายจากเงินสะสม)</t>
  </si>
  <si>
    <t>รายจ่ายตามงบประมาณ (จ่ายจากเงินอุดหนุนค้างจ่าย)</t>
  </si>
  <si>
    <t>รายจ่ายตามงบประมาณ (จ่ายจากรายจ่ายค้างจ่าย)</t>
  </si>
  <si>
    <t>00214</t>
  </si>
  <si>
    <t>00212</t>
  </si>
  <si>
    <t>เจ้าพนักงานการเงินและบัญชี</t>
  </si>
  <si>
    <t>รายจ่ายรอจ่าย</t>
  </si>
  <si>
    <r>
      <t xml:space="preserve">             </t>
    </r>
    <r>
      <rPr>
        <b/>
        <sz val="16"/>
        <rFont val="Cordia New"/>
        <family val="2"/>
      </rPr>
      <t xml:space="preserve">ธนาคาร   </t>
    </r>
    <r>
      <rPr>
        <sz val="16"/>
        <rFont val="Cordia New"/>
        <family val="2"/>
      </rPr>
      <t>กรุงไทย  กระแสรายวัน</t>
    </r>
  </si>
  <si>
    <r>
      <t xml:space="preserve">             </t>
    </r>
    <r>
      <rPr>
        <b/>
        <sz val="16"/>
        <rFont val="Cordia New"/>
        <family val="2"/>
      </rPr>
      <t xml:space="preserve">เลขที่บัญชี  </t>
    </r>
    <r>
      <rPr>
        <sz val="16"/>
        <rFont val="Cordia New"/>
        <family val="2"/>
      </rPr>
      <t>802-6-01897-4</t>
    </r>
  </si>
  <si>
    <t>00330</t>
  </si>
  <si>
    <t>00332</t>
  </si>
  <si>
    <r>
      <t>ลงชื่อ</t>
    </r>
    <r>
      <rPr>
        <sz val="16"/>
        <rFont val="Cordia New"/>
        <family val="2"/>
      </rPr>
      <t xml:space="preserve">  นางนงนุช   รอดจบ</t>
    </r>
  </si>
  <si>
    <t>(นางนงนุช   รอดจบ)</t>
  </si>
  <si>
    <t>(นางนงนุช    รอดจบ)</t>
  </si>
  <si>
    <t>(นางนงนุช  รอดจบ)</t>
  </si>
  <si>
    <t>ภาษีหน้าฎีกา</t>
  </si>
  <si>
    <t>(ลงชื่อ)..........................................</t>
  </si>
  <si>
    <t>เงินฝากธนาคาร ธกส. ออมทรัพย์ 092-2-71685-2</t>
  </si>
  <si>
    <t>หมายเหตุ 3</t>
  </si>
  <si>
    <t>บัญชีเงินรายรับ</t>
  </si>
  <si>
    <t>วันที่โอนเข้าบัญชี</t>
  </si>
  <si>
    <t>วันที่ลงบัญชี</t>
  </si>
  <si>
    <t>จำนวนเงิน</t>
  </si>
  <si>
    <t>เงินสด</t>
  </si>
  <si>
    <t>ลูกหนี้เงินยืม-เงินนอกงบประมาณ</t>
  </si>
  <si>
    <t>หมายเหตุ 2</t>
  </si>
  <si>
    <t>00261</t>
  </si>
  <si>
    <t>ลูกหนี้เงินยืม - เงินนอกงบประมาณ</t>
  </si>
  <si>
    <t>เงินรับฝาก (หมายเหตุ 3)</t>
  </si>
  <si>
    <t>เงินอุดหนุนทั่วไป</t>
  </si>
  <si>
    <r>
      <t>ลงชื่อ</t>
    </r>
    <r>
      <rPr>
        <sz val="16"/>
        <rFont val="Cordia New"/>
        <family val="2"/>
      </rPr>
      <t xml:space="preserve">  นางนงนุช  รอดจบ</t>
    </r>
  </si>
  <si>
    <t>110100</t>
  </si>
  <si>
    <t>110201</t>
  </si>
  <si>
    <t>110203</t>
  </si>
  <si>
    <t>110300</t>
  </si>
  <si>
    <t>210300</t>
  </si>
  <si>
    <t>210400</t>
  </si>
  <si>
    <t>ภาษีหัก ณ ที่จ่าย</t>
  </si>
  <si>
    <t>เงินประกันสัญญา</t>
  </si>
  <si>
    <t>ค่าใช้จ่าย ภ.บ.ท. 5%</t>
  </si>
  <si>
    <t>เงินส่วนลด 6%</t>
  </si>
  <si>
    <t>เงินทุนโครงการเศรษฐกิจชุมชน</t>
  </si>
  <si>
    <t>เงินค่าตอบแทนจากการกระทำผิด พรบ.จราจรทางบก (25%)</t>
  </si>
  <si>
    <t>ที่</t>
  </si>
  <si>
    <t>คงเหลือ</t>
  </si>
  <si>
    <t>ประกอบงบทดลองและรายงานรับ-จ่ายเงินสด</t>
  </si>
  <si>
    <t>เงินอุดหนุนค้างจ่าย(หมายเหตุ 1)</t>
  </si>
  <si>
    <t>บัญชีเงินอุดหนุนค้างจ่าย</t>
  </si>
  <si>
    <t>ตั้งแต่ต้นปี</t>
  </si>
  <si>
    <t>ภาษีบำรุงท้องที่</t>
  </si>
  <si>
    <t>ภาษีสุรา</t>
  </si>
  <si>
    <t>ภาษีสรรพสามิต</t>
  </si>
  <si>
    <t>ค่าธรรมเนียมจดทะเบียนสิทธิและนิติกรรมที่ดิน</t>
  </si>
  <si>
    <t>531000</t>
  </si>
  <si>
    <t>532000</t>
  </si>
  <si>
    <t>533000</t>
  </si>
  <si>
    <t>534000</t>
  </si>
  <si>
    <t>542000</t>
  </si>
  <si>
    <t>300000</t>
  </si>
  <si>
    <t>320000</t>
  </si>
  <si>
    <t>400000</t>
  </si>
  <si>
    <t>230100</t>
  </si>
  <si>
    <t>เงินอุดหนุนศูนย์พัฒนาครอบครัวในชุมชน</t>
  </si>
  <si>
    <t>ภาษีมูลค่าเพิ่มตามพ.ร.บ.กำหนดแผนฯ</t>
  </si>
  <si>
    <t>ภาษีมูลค่าเพิ่ม 1 ใน 9</t>
  </si>
  <si>
    <t>ค่าปรับผู้กระทำผิดกฎหมายจราจรทางบก</t>
  </si>
  <si>
    <t>ค่าบำรุงรักษามาตรวัดน้ำ</t>
  </si>
  <si>
    <t>411000</t>
  </si>
  <si>
    <t>412000</t>
  </si>
  <si>
    <t>413000</t>
  </si>
  <si>
    <t>414000</t>
  </si>
  <si>
    <t>415000</t>
  </si>
  <si>
    <t>416000</t>
  </si>
  <si>
    <t>421000</t>
  </si>
  <si>
    <t>431000</t>
  </si>
  <si>
    <t>441000</t>
  </si>
  <si>
    <t>510000</t>
  </si>
  <si>
    <t>560000</t>
  </si>
  <si>
    <t>550000</t>
  </si>
  <si>
    <t>เงินอุดหนุนระบุวัตถุประสงค์</t>
  </si>
  <si>
    <t>110605</t>
  </si>
  <si>
    <t>140000</t>
  </si>
  <si>
    <t>210500</t>
  </si>
  <si>
    <t>องค์การบริหารส่วนตำบลเกาะทวด  อำเภอปากพนัง  จังหวัดนครศรีธรรมราช</t>
  </si>
  <si>
    <t>รายงานกระแสเงินสด</t>
  </si>
  <si>
    <t>รายรับ</t>
  </si>
  <si>
    <t>รับเงินรายรับ</t>
  </si>
  <si>
    <t>รับเงินรับฝาก</t>
  </si>
  <si>
    <t>รับเงินสะสม</t>
  </si>
  <si>
    <t>รับภาษีหน้าฎีกา</t>
  </si>
  <si>
    <t>รวมเป็นเงิน</t>
  </si>
  <si>
    <t>จ่ายจากเงินตามงบประมาณ</t>
  </si>
  <si>
    <t>จ่ายจากรายจ่ายรอจ่าย</t>
  </si>
  <si>
    <t>จ่ายจากเงินรับฝาก</t>
  </si>
  <si>
    <t>จ่ายจากรายจ่ายค้างจ่าย</t>
  </si>
  <si>
    <t>จ่ายภาษีหน้าฎีกา</t>
  </si>
  <si>
    <t>รายรับ  สูง (ต่ำ)กว่า  รายจ่าย</t>
  </si>
  <si>
    <t>รับเงินอุดหนุนระบุวัตถุประสงค์</t>
  </si>
  <si>
    <t>จ่ายจากเงินอุดหนุนระบุวัตถุประสงค์</t>
  </si>
  <si>
    <t>110700</t>
  </si>
  <si>
    <t>110800</t>
  </si>
  <si>
    <t>111100</t>
  </si>
  <si>
    <t>120100</t>
  </si>
  <si>
    <t xml:space="preserve">510000 </t>
  </si>
  <si>
    <t>เงินเดือน(ฝ่ายการเมือง)</t>
  </si>
  <si>
    <t>เงินเดือน(ฝ่ายประจำ)</t>
  </si>
  <si>
    <t>521000</t>
  </si>
  <si>
    <t>522000</t>
  </si>
  <si>
    <t>-4-</t>
  </si>
  <si>
    <t>ลูกหนี้เงินยืมเงินงบประมาณ</t>
  </si>
  <si>
    <t>110609</t>
  </si>
  <si>
    <t>รับลูกหนี้เงินยืม-เงินงบประมาณ</t>
  </si>
  <si>
    <t>รับลูกหนี้เงินยืม-เงินนอกงบประมาณ</t>
  </si>
  <si>
    <t>จ่ายลูกหนี้เงินยืม-เงินงบประมาณ</t>
  </si>
  <si>
    <t>จ่ายลูกหนี้เงินยืม-เงินนอกงบประมาณ</t>
  </si>
  <si>
    <t>541000</t>
  </si>
  <si>
    <t>รายจ่ายอื่น ๆ</t>
  </si>
  <si>
    <t>ค่าภาคหลวงแร่</t>
  </si>
  <si>
    <t>ค่าภาคหลวงปิโตรเลียม</t>
  </si>
  <si>
    <t>เงินอุดหนุนทั่วไปเพื่อสนับสนุนการกระจายอำนาจให้แก่ อปท.</t>
  </si>
  <si>
    <t>ลำดับ</t>
  </si>
  <si>
    <t>ภาษีโรงเรือนและที่ดิน</t>
  </si>
  <si>
    <t>จ่ายจากเงินอุดหนุนค้างจ่าย</t>
  </si>
  <si>
    <t>510000 งบกลาง</t>
  </si>
  <si>
    <t>521000  เงินเดือน(ฝ่ายการเมือง)</t>
  </si>
  <si>
    <t>522000เงินเดือน (ฝ่ายประจำ)</t>
  </si>
  <si>
    <t>531000ค่าตอบแทน</t>
  </si>
  <si>
    <t>532000 ค่าใช้สอย</t>
  </si>
  <si>
    <t>533000 ค่าวัสดุ</t>
  </si>
  <si>
    <t>541000 ค่าครุภัณฑ์</t>
  </si>
  <si>
    <t>542000 ค่าที่ดินและสิ่งก่อสร้าง</t>
  </si>
  <si>
    <t>561000 เงินอุดหนุน</t>
  </si>
  <si>
    <t>551000 รายจ่ายอื่นๆ</t>
  </si>
  <si>
    <t>ภาษีป้าย</t>
  </si>
  <si>
    <t>ค่าธรรมเนียมเกี่ยวกับใบอนุญาตการขายสุรา</t>
  </si>
  <si>
    <t>ค่าขายแบบแปลน</t>
  </si>
  <si>
    <t>จ่ายจากเงินสะสม</t>
  </si>
  <si>
    <r>
      <t xml:space="preserve">534000 </t>
    </r>
    <r>
      <rPr>
        <sz val="12"/>
        <rFont val="Cordia New"/>
        <family val="2"/>
      </rPr>
      <t>ค่าสาธารณูปโภค</t>
    </r>
  </si>
  <si>
    <r>
      <t xml:space="preserve">534000 </t>
    </r>
    <r>
      <rPr>
        <sz val="12"/>
        <rFont val="Angsana New"/>
        <family val="1"/>
      </rPr>
      <t>ค่าสาธารณูปโภค</t>
    </r>
  </si>
  <si>
    <t>ลูกหนี้เงินยืมเงินนอกงบประมาณ</t>
  </si>
  <si>
    <t>ค่าขายแบบแปลน(โครงการไทยเข้มแข็ง)</t>
  </si>
  <si>
    <t>ดอกเบี้ยเงินฝากธนาคาร</t>
  </si>
  <si>
    <t>ภาษีธุรกิจเฉพาะ</t>
  </si>
  <si>
    <t>ค่าธรรมเนียมอื่น ๆ</t>
  </si>
  <si>
    <t>111000</t>
  </si>
  <si>
    <r>
      <t xml:space="preserve">     </t>
    </r>
    <r>
      <rPr>
        <b/>
        <u val="single"/>
        <sz val="16"/>
        <rFont val="Cordia New"/>
        <family val="2"/>
      </rPr>
      <t>วันที่</t>
    </r>
    <r>
      <rPr>
        <u val="single"/>
        <sz val="16"/>
        <rFont val="Cordia New"/>
        <family val="2"/>
      </rPr>
      <t xml:space="preserve"> </t>
    </r>
  </si>
  <si>
    <t>เลขที่เช็ค</t>
  </si>
  <si>
    <t>ลูกหนี้เงินยืมเงินสะสม</t>
  </si>
  <si>
    <t>110606</t>
  </si>
  <si>
    <t>ลูกหนี้เงินยืม - เงินสะสม</t>
  </si>
  <si>
    <t>จ่ายลูกหนี้เงินยืม-เงินสะสม</t>
  </si>
  <si>
    <t>ประจำเดือนกันยายน   2553</t>
  </si>
  <si>
    <t>ปีงบประมาณ  2554</t>
  </si>
  <si>
    <t>อำเภอปากพนัง      จังหวัด นครศรีธรรมราช</t>
  </si>
  <si>
    <t>(ลงชื่อ)………………………..                     (ลงชื่อ)………………………..             (ลงชื่อ)……………………………</t>
  </si>
  <si>
    <t>เงินอุดหนุนเฉพาะกิจ-สนับสนุนเบี้ยยังชีพผู้สูงอายุ ปี 2553</t>
  </si>
  <si>
    <t>บัญชีเงินรายจ่ายค้างจ่าย</t>
  </si>
  <si>
    <t>ค่าใช้จ่ายในการติดตั้งระบบไฟฟ้าสาธารณะ</t>
  </si>
  <si>
    <t>วัสดุอื่น ๆ อาหารเสริม (นม)ศูนย์พัฒนาเด็กเล็ก</t>
  </si>
  <si>
    <t>วัสดุอื่น ๆ อาหารเสริม (นม)โรงเรียน</t>
  </si>
  <si>
    <t>โครงการฝังท่อระบายน้ำถนนซอยเกษตร 3-5 และคันเหมือง</t>
  </si>
  <si>
    <t>สายบ้านนายราย  หมู่ที่  5  ต.เกาะทวด</t>
  </si>
  <si>
    <t>รายจ่ายค้างจ่าย (หมายเหตุ 2)</t>
  </si>
  <si>
    <t>เงินอุดหนุนเบี้ยยังชีพผู้สูงอายุ ปี 2553</t>
  </si>
  <si>
    <t xml:space="preserve"> เงินรับฝาก  (หมายเหตุ 3)</t>
  </si>
  <si>
    <t>รับฝาก (หมายเหตุ 3)</t>
  </si>
  <si>
    <t>หมายเหตุ 4</t>
  </si>
  <si>
    <t>ค่าปรับการผิดสัญญา</t>
  </si>
  <si>
    <t>ค่าปรับอื่น ๆ</t>
  </si>
  <si>
    <t>ค่าธรรมเนียมการขออนุญาตใช้น้ำประปา</t>
  </si>
  <si>
    <t xml:space="preserve">ค่าใบอนุญาตอื่น </t>
  </si>
  <si>
    <t>รายได้จากการจำหน่ายน้ำประปา</t>
  </si>
  <si>
    <t>ค่าขายทอดตลาดทรัพย์สิน</t>
  </si>
  <si>
    <t>รายได้เบ็ดเตล็ดอื่น ๆ</t>
  </si>
  <si>
    <t>ภาษีและค่าธรรมเนียมรถยนต์หรือล้อเลื่อน</t>
  </si>
  <si>
    <t>ภาษีจัดสรรอื่น ๆ</t>
  </si>
  <si>
    <t>รองปลัด อบต. รักษาราชการแทน</t>
  </si>
  <si>
    <t>ปลัดองค์การบริหารส่วนตำบล</t>
  </si>
  <si>
    <t>(นายวรรณชาติ   ยอดแก้ว)</t>
  </si>
  <si>
    <t>นายกองค์การบริหารส่วนตำบลเกาะทวด</t>
  </si>
  <si>
    <t xml:space="preserve">(ลงชื่อ)……………………….. </t>
  </si>
  <si>
    <t>(ลงชื่อ)……………………………</t>
  </si>
  <si>
    <t>(ลงชื่อ)……………………….</t>
  </si>
  <si>
    <t xml:space="preserve">(นายจิราวุธ  กรเพชร) </t>
  </si>
  <si>
    <t>(นายวรรณชาติ  ยอดแก้ว)</t>
  </si>
  <si>
    <t>ประจำเดือนตุลาคม  2553</t>
  </si>
  <si>
    <t>00251</t>
  </si>
  <si>
    <t>00231</t>
  </si>
  <si>
    <t>110900</t>
  </si>
  <si>
    <t>เงินอุดหนุนเฉพาะกิจ-สวัสดิการทางสังคมให้แก่ผู้พิการ ปี 2553</t>
  </si>
  <si>
    <t>เงินอุดหนุนเฉพาะกิจ-สวัสดิการทางสังคมให้แก่ผู้พิการและทุพพลภาพ</t>
  </si>
  <si>
    <t>เงินอุดหนุนเฉพาะกิจ-สงเคราะห์เบี้ยยังชีพคนชรา</t>
  </si>
  <si>
    <t>รับลูกหนี้เงินยืม-เงินสะสม</t>
  </si>
  <si>
    <t>รับค่าใช้สอย</t>
  </si>
  <si>
    <t>เงินอุดหนุนเฉพาะกิจ-ศูนย์พัฒนาครอบครัวในชุมชน</t>
  </si>
  <si>
    <r>
      <t>ลงชื่อ</t>
    </r>
    <r>
      <rPr>
        <sz val="16"/>
        <rFont val="Cordia New"/>
        <family val="2"/>
      </rPr>
      <t xml:space="preserve"> นางสาวเอมอร  ทรายขาว</t>
    </r>
  </si>
  <si>
    <r>
      <t xml:space="preserve">ตำแหน่ง </t>
    </r>
    <r>
      <rPr>
        <sz val="16"/>
        <rFont val="Cordia New"/>
        <family val="2"/>
      </rPr>
      <t>หัวหน้าส่วนการคลัง</t>
    </r>
  </si>
  <si>
    <t>(นางสาวเอมอร  ทรายขาว)</t>
  </si>
  <si>
    <t xml:space="preserve">       หัวหน้าส่วนการคลัง                                     ปลัดองค์การบริหารส่วนตำบล        นายกองค์การบริหารส่วนตำบลเกาะทวด</t>
  </si>
  <si>
    <t xml:space="preserve">    (นางสาวเอมอร  ทรายขาว)                                  (นายจิราวุธ  กรเพชร)                              (นายวรรณชาติ  ยอดแก้ว)</t>
  </si>
  <si>
    <t>เงินอุดหนุนเฉพาะกิจ-สนับสนุนศูนย์พัฒนาเด็กเล็ก</t>
  </si>
  <si>
    <t>ประจำเดือนมกราคม  2554</t>
  </si>
  <si>
    <t>ค่าธรรมเนียมจดทะเบียนพาณิชย์</t>
  </si>
  <si>
    <t>(นางสาวเอมอร   ทรายขาว)</t>
  </si>
  <si>
    <t>บัญชีเงินอุดหนุนระบุวัตถุประสงค์</t>
  </si>
  <si>
    <t>หมายเหตุ  5</t>
  </si>
  <si>
    <t>สวัสดิการเบี้ยยังชีพคนพิการ ปี 2553 (งวดสุดท้าย)</t>
  </si>
  <si>
    <t xml:space="preserve">สวัสดิการเบี้ยยังชีพคนพิการ </t>
  </si>
  <si>
    <t>สนับสนุนเบี้ยยังชีพผู้สูงอายุ</t>
  </si>
  <si>
    <t>สนับสนุนศูนย์พัฒนาครอบครัวในชุมชน</t>
  </si>
  <si>
    <t>สนับสนุนศูนย์พัฒนาเด็กเล็ก</t>
  </si>
  <si>
    <t>เงินอุดหนุนระบุวัตถุประสงค์ (หมายเหตุ  5)</t>
  </si>
  <si>
    <t>รับเงินเดือน(ฝ่ายประจำ)</t>
  </si>
  <si>
    <r>
      <t xml:space="preserve">ตำแหน่ง </t>
    </r>
    <r>
      <rPr>
        <sz val="16"/>
        <rFont val="Cordia New"/>
        <family val="2"/>
      </rPr>
      <t>หัวหน้าส่วนการคลัง</t>
    </r>
  </si>
  <si>
    <t>1  ก.พ. 2554</t>
  </si>
  <si>
    <r>
      <t xml:space="preserve">ตำแหน่ง </t>
    </r>
    <r>
      <rPr>
        <sz val="16"/>
        <rFont val="Cordia New"/>
        <family val="2"/>
      </rPr>
      <t>นักวิชาการเงินและบัญชี</t>
    </r>
  </si>
  <si>
    <t>ประกอบงบทดลอง</t>
  </si>
  <si>
    <r>
      <t>รายรับ</t>
    </r>
    <r>
      <rPr>
        <b/>
        <sz val="16"/>
        <rFont val="Angsana New"/>
        <family val="1"/>
      </rPr>
      <t xml:space="preserve">  (หมายเหตุ 1)</t>
    </r>
  </si>
  <si>
    <t>ประกอบรายงานรับ-จ่ายเงินสด</t>
  </si>
  <si>
    <t>รับเดือนนี้</t>
  </si>
  <si>
    <t>จ่ายเดือนนี้</t>
  </si>
  <si>
    <t>เงินอุดหนุนระบุวัตถุประสงค์(หมายเหตุ 2)</t>
  </si>
  <si>
    <t>เงินอุดหนุนระบุวัตถุประสงค์ (หมายเหตุ 2)</t>
  </si>
  <si>
    <t xml:space="preserve">เงินอุดหนุนค้างจ่าย </t>
  </si>
  <si>
    <t xml:space="preserve">รายจ่ายค้างจ่าย </t>
  </si>
  <si>
    <t>รายรับ (หมายเหตุ 4)</t>
  </si>
  <si>
    <t>นักวิชาการเงินและบัญชี</t>
  </si>
  <si>
    <t>28 เม.ย. 2554</t>
  </si>
  <si>
    <t>6777055</t>
  </si>
  <si>
    <t>31 พ.ค.2554</t>
  </si>
  <si>
    <t>6778401</t>
  </si>
  <si>
    <t xml:space="preserve"> ณ วันที่   30  มิถุนายน  2554</t>
  </si>
  <si>
    <t>ประจำเดือนมิถุนายน  2554</t>
  </si>
  <si>
    <t xml:space="preserve"> ณ วันที่   30  มิถุนายน   2554</t>
  </si>
  <si>
    <t xml:space="preserve"> ณ วันที่  30  มิถุนายน   2554</t>
  </si>
  <si>
    <t>เพียงวันที่    30  มิถุนายน   2554</t>
  </si>
  <si>
    <t>ณ วันที่  30  มิถุนายน  2554</t>
  </si>
  <si>
    <t>ยอดคงเหลือตามรายงานธนาคาร ณ วันที่  30  มิถุนายน  2554</t>
  </si>
  <si>
    <t>ยอดคงเหลือตามรายงานธนาคาร ณ วันที่ 30  มิถุนายน  2554</t>
  </si>
  <si>
    <t>30 มิ.ย.2554</t>
  </si>
  <si>
    <t>โอนเข้าบัญชีออมทรัพย์</t>
  </si>
  <si>
    <r>
      <t>ยอดคงเหลือตามบัญชี ณ วันที่</t>
    </r>
    <r>
      <rPr>
        <sz val="16"/>
        <rFont val="Cordia New"/>
        <family val="2"/>
      </rPr>
      <t xml:space="preserve">   30  มิถุนายน  2554</t>
    </r>
  </si>
  <si>
    <t>วันที่ 30 มิ.ย. 54</t>
  </si>
  <si>
    <r>
      <t xml:space="preserve">ตำแหน่ง </t>
    </r>
    <r>
      <rPr>
        <sz val="16"/>
        <rFont val="Cordia New"/>
        <family val="2"/>
      </rPr>
      <t>นักวิชาการเงินและบัญชี</t>
    </r>
  </si>
  <si>
    <t>29 มิ.ย.2554</t>
  </si>
  <si>
    <t>6778434</t>
  </si>
  <si>
    <t>6778435</t>
  </si>
  <si>
    <t>6778437</t>
  </si>
  <si>
    <t>6778438</t>
  </si>
  <si>
    <t>6778439</t>
  </si>
  <si>
    <t>6778440</t>
  </si>
  <si>
    <t>6778441</t>
  </si>
  <si>
    <t>6778442</t>
  </si>
  <si>
    <t>6778443</t>
  </si>
  <si>
    <t>6778444</t>
  </si>
  <si>
    <t>6778445</t>
  </si>
  <si>
    <t>6778446</t>
  </si>
  <si>
    <t>6778447</t>
  </si>
  <si>
    <t>6778448</t>
  </si>
  <si>
    <t>6778449</t>
  </si>
  <si>
    <t>6778450</t>
  </si>
  <si>
    <t>6778451</t>
  </si>
  <si>
    <t>4  ก.ค.2554</t>
  </si>
  <si>
    <t>ยอดคงเหลือตามบัญชี ณ วันที่ 30  มิถุนายน  2554</t>
  </si>
  <si>
    <r>
      <t xml:space="preserve">             </t>
    </r>
    <r>
      <rPr>
        <b/>
        <sz val="16"/>
        <rFont val="Cordia New"/>
        <family val="2"/>
      </rPr>
      <t xml:space="preserve">เลขที่บัญชี  </t>
    </r>
    <r>
      <rPr>
        <sz val="16"/>
        <rFont val="Cordia New"/>
        <family val="2"/>
      </rPr>
      <t>092-2-71685-2</t>
    </r>
  </si>
  <si>
    <t>17 มิ.ย.2554</t>
  </si>
  <si>
    <t>17 มิ.ย. 2554</t>
  </si>
  <si>
    <t>(นายจิราวุธ  กรเพชร)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</si>
</sst>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;[Red]0"/>
    <numFmt numFmtId="204" formatCode="#,##0.0"/>
    <numFmt numFmtId="205" formatCode="0.0"/>
    <numFmt numFmtId="206" formatCode="_-* #,##0.0_-;\-* #,##0.0_-;_-* &quot;-&quot;??_-;_-@_-"/>
    <numFmt numFmtId="207" formatCode="_-* #,##0_-;\-* #,##0_-;_-* &quot;-&quot;??_-;_-@_-"/>
    <numFmt numFmtId="208" formatCode="[$-41E]d\ mmmm\ yyyy"/>
    <numFmt numFmtId="209" formatCode="[$-107041E]d\ mmm\ yy;@"/>
    <numFmt numFmtId="210" formatCode="\ว\ \ \ด\ด\ \ \ป\ป"/>
    <numFmt numFmtId="211" formatCode="[&lt;=9999999][$-D000000]###\-####;[$-D000000]\(0#\)\ ###\-####"/>
    <numFmt numFmtId="212" formatCode="0.000"/>
    <numFmt numFmtId="213" formatCode="0.0000"/>
    <numFmt numFmtId="214" formatCode="0#"/>
    <numFmt numFmtId="215" formatCode="_-* #,##0.000_-;\-* #,##0.000_-;_-* &quot;-&quot;??_-;_-@_-"/>
    <numFmt numFmtId="216" formatCode="#,##0.00_ ;\-#,##0.00\ "/>
    <numFmt numFmtId="217" formatCode="#,##0.00;[Red]#,##0.00"/>
    <numFmt numFmtId="218" formatCode="[$-F800]dddd\,\ mmmm\ dd\,\ yyyy"/>
    <numFmt numFmtId="219" formatCode="[$-409]dddd\,\ mmmm\ dd\,\ yyyy"/>
    <numFmt numFmtId="220" formatCode="0.00;[Red]0.00"/>
    <numFmt numFmtId="221" formatCode="0.00_);\(0.00\)"/>
  </numFmts>
  <fonts count="37">
    <font>
      <sz val="14"/>
      <name val="Cordia New"/>
      <family val="0"/>
    </font>
    <font>
      <b/>
      <sz val="16"/>
      <name val="Cordia New"/>
      <family val="2"/>
    </font>
    <font>
      <sz val="16"/>
      <name val="Cordia New"/>
      <family val="2"/>
    </font>
    <font>
      <b/>
      <sz val="18"/>
      <name val="Cordia New"/>
      <family val="2"/>
    </font>
    <font>
      <b/>
      <sz val="14"/>
      <name val="Cordia New"/>
      <family val="2"/>
    </font>
    <font>
      <b/>
      <u val="single"/>
      <sz val="16"/>
      <name val="Cordia New"/>
      <family val="2"/>
    </font>
    <font>
      <u val="single"/>
      <sz val="16"/>
      <name val="Cordia New"/>
      <family val="2"/>
    </font>
    <font>
      <b/>
      <sz val="14"/>
      <color indexed="10"/>
      <name val="Cordia New"/>
      <family val="2"/>
    </font>
    <font>
      <sz val="14"/>
      <color indexed="10"/>
      <name val="Cordia New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2"/>
      <name val="Cordia New"/>
      <family val="2"/>
    </font>
    <font>
      <sz val="12"/>
      <name val="Cordia New"/>
      <family val="2"/>
    </font>
    <font>
      <sz val="16"/>
      <name val="Angsana New"/>
      <family val="1"/>
    </font>
    <font>
      <b/>
      <sz val="12"/>
      <color indexed="10"/>
      <name val="Cordia New"/>
      <family val="2"/>
    </font>
    <font>
      <sz val="12"/>
      <color indexed="10"/>
      <name val="Cordia New"/>
      <family val="2"/>
    </font>
    <font>
      <b/>
      <sz val="16"/>
      <name val="Angsana New"/>
      <family val="1"/>
    </font>
    <font>
      <sz val="14"/>
      <name val="Angsana New"/>
      <family val="1"/>
    </font>
    <font>
      <b/>
      <u val="single"/>
      <sz val="16"/>
      <name val="Angsana New"/>
      <family val="1"/>
    </font>
    <font>
      <sz val="20"/>
      <name val="Angsana New"/>
      <family val="1"/>
    </font>
    <font>
      <sz val="22"/>
      <name val="Angsana New"/>
      <family val="1"/>
    </font>
    <font>
      <b/>
      <sz val="20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b/>
      <sz val="9"/>
      <name val="Tahoma"/>
      <family val="0"/>
    </font>
    <font>
      <sz val="9"/>
      <name val="Tahoma"/>
      <family val="0"/>
    </font>
    <font>
      <b/>
      <sz val="16"/>
      <color indexed="23"/>
      <name val="Angsana New"/>
      <family val="1"/>
    </font>
    <font>
      <sz val="8"/>
      <name val="Cordia New"/>
      <family val="0"/>
    </font>
    <font>
      <sz val="15"/>
      <name val="Angsana New"/>
      <family val="1"/>
    </font>
    <font>
      <sz val="16"/>
      <color indexed="10"/>
      <name val="Angsana New"/>
      <family val="1"/>
    </font>
    <font>
      <sz val="14"/>
      <color indexed="10"/>
      <name val="Angsana New"/>
      <family val="1"/>
    </font>
    <font>
      <b/>
      <sz val="14"/>
      <color indexed="10"/>
      <name val="Angsana New"/>
      <family val="1"/>
    </font>
    <font>
      <sz val="12"/>
      <name val="Angsana New"/>
      <family val="1"/>
    </font>
    <font>
      <b/>
      <sz val="16"/>
      <color indexed="10"/>
      <name val="Cordia New"/>
      <family val="2"/>
    </font>
    <font>
      <b/>
      <sz val="8"/>
      <name val="Cordia Ne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2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0" fontId="0" fillId="0" borderId="4" xfId="0" applyBorder="1" applyAlignment="1">
      <alignment horizontal="center"/>
    </xf>
    <xf numFmtId="0" fontId="5" fillId="0" borderId="0" xfId="0" applyFont="1" applyAlignment="1">
      <alignment/>
    </xf>
    <xf numFmtId="0" fontId="1" fillId="0" borderId="2" xfId="0" applyFont="1" applyBorder="1" applyAlignment="1">
      <alignment/>
    </xf>
    <xf numFmtId="4" fontId="2" fillId="0" borderId="2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49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194" fontId="4" fillId="0" borderId="7" xfId="0" applyNumberFormat="1" applyFont="1" applyBorder="1" applyAlignment="1">
      <alignment/>
    </xf>
    <xf numFmtId="194" fontId="4" fillId="0" borderId="3" xfId="0" applyNumberFormat="1" applyFont="1" applyBorder="1" applyAlignment="1">
      <alignment/>
    </xf>
    <xf numFmtId="194" fontId="4" fillId="0" borderId="8" xfId="0" applyNumberFormat="1" applyFont="1" applyBorder="1" applyAlignment="1">
      <alignment/>
    </xf>
    <xf numFmtId="194" fontId="4" fillId="0" borderId="6" xfId="0" applyNumberFormat="1" applyFont="1" applyBorder="1" applyAlignment="1">
      <alignment horizontal="right"/>
    </xf>
    <xf numFmtId="194" fontId="4" fillId="0" borderId="6" xfId="0" applyNumberFormat="1" applyFont="1" applyBorder="1" applyAlignment="1">
      <alignment/>
    </xf>
    <xf numFmtId="194" fontId="4" fillId="0" borderId="9" xfId="0" applyNumberFormat="1" applyFont="1" applyBorder="1" applyAlignment="1">
      <alignment/>
    </xf>
    <xf numFmtId="194" fontId="4" fillId="0" borderId="9" xfId="0" applyNumberFormat="1" applyFont="1" applyBorder="1" applyAlignment="1">
      <alignment horizontal="right"/>
    </xf>
    <xf numFmtId="194" fontId="4" fillId="0" borderId="7" xfId="0" applyNumberFormat="1" applyFont="1" applyBorder="1" applyAlignment="1">
      <alignment horizontal="right"/>
    </xf>
    <xf numFmtId="194" fontId="4" fillId="0" borderId="3" xfId="0" applyNumberFormat="1" applyFont="1" applyBorder="1" applyAlignment="1">
      <alignment horizontal="right"/>
    </xf>
    <xf numFmtId="194" fontId="4" fillId="0" borderId="0" xfId="0" applyNumberFormat="1" applyFont="1" applyBorder="1" applyAlignment="1">
      <alignment horizontal="right"/>
    </xf>
    <xf numFmtId="194" fontId="0" fillId="0" borderId="0" xfId="0" applyNumberFormat="1" applyBorder="1" applyAlignment="1">
      <alignment/>
    </xf>
    <xf numFmtId="194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194" fontId="0" fillId="0" borderId="6" xfId="0" applyNumberFormat="1" applyFont="1" applyBorder="1" applyAlignment="1">
      <alignment/>
    </xf>
    <xf numFmtId="194" fontId="8" fillId="0" borderId="6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8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/>
    </xf>
    <xf numFmtId="0" fontId="7" fillId="0" borderId="0" xfId="0" applyFont="1" applyBorder="1" applyAlignment="1">
      <alignment/>
    </xf>
    <xf numFmtId="194" fontId="7" fillId="0" borderId="0" xfId="0" applyNumberFormat="1" applyFont="1" applyBorder="1" applyAlignment="1">
      <alignment horizontal="right"/>
    </xf>
    <xf numFmtId="194" fontId="7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9" fontId="13" fillId="0" borderId="12" xfId="0" applyNumberFormat="1" applyFont="1" applyBorder="1" applyAlignment="1">
      <alignment/>
    </xf>
    <xf numFmtId="49" fontId="13" fillId="0" borderId="8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8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49" fontId="14" fillId="0" borderId="0" xfId="0" applyNumberFormat="1" applyFont="1" applyAlignment="1">
      <alignment/>
    </xf>
    <xf numFmtId="49" fontId="13" fillId="0" borderId="14" xfId="0" applyNumberFormat="1" applyFont="1" applyBorder="1" applyAlignment="1">
      <alignment/>
    </xf>
    <xf numFmtId="49" fontId="13" fillId="0" borderId="15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4" fillId="0" borderId="15" xfId="0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6" xfId="0" applyFont="1" applyBorder="1" applyAlignment="1">
      <alignment/>
    </xf>
    <xf numFmtId="194" fontId="13" fillId="0" borderId="6" xfId="0" applyNumberFormat="1" applyFont="1" applyBorder="1" applyAlignment="1">
      <alignment horizontal="right"/>
    </xf>
    <xf numFmtId="194" fontId="13" fillId="0" borderId="6" xfId="0" applyNumberFormat="1" applyFont="1" applyBorder="1" applyAlignment="1">
      <alignment/>
    </xf>
    <xf numFmtId="194" fontId="13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194" fontId="16" fillId="0" borderId="0" xfId="0" applyNumberFormat="1" applyFont="1" applyBorder="1" applyAlignment="1">
      <alignment horizontal="right"/>
    </xf>
    <xf numFmtId="194" fontId="16" fillId="0" borderId="0" xfId="0" applyNumberFormat="1" applyFont="1" applyBorder="1" applyAlignment="1">
      <alignment/>
    </xf>
    <xf numFmtId="194" fontId="14" fillId="0" borderId="0" xfId="0" applyNumberFormat="1" applyFont="1" applyBorder="1" applyAlignment="1">
      <alignment/>
    </xf>
    <xf numFmtId="194" fontId="17" fillId="0" borderId="0" xfId="0" applyNumberFormat="1" applyFont="1" applyBorder="1" applyAlignment="1">
      <alignment/>
    </xf>
    <xf numFmtId="4" fontId="2" fillId="0" borderId="4" xfId="0" applyNumberFormat="1" applyFont="1" applyBorder="1" applyAlignment="1">
      <alignment horizontal="right"/>
    </xf>
    <xf numFmtId="194" fontId="13" fillId="0" borderId="0" xfId="0" applyNumberFormat="1" applyFont="1" applyBorder="1" applyAlignment="1">
      <alignment horizontal="center"/>
    </xf>
    <xf numFmtId="194" fontId="8" fillId="0" borderId="0" xfId="0" applyNumberFormat="1" applyFont="1" applyBorder="1" applyAlignment="1">
      <alignment/>
    </xf>
    <xf numFmtId="194" fontId="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49" fontId="15" fillId="0" borderId="2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5" fillId="0" borderId="21" xfId="0" applyNumberFormat="1" applyFont="1" applyBorder="1" applyAlignment="1">
      <alignment horizontal="center"/>
    </xf>
    <xf numFmtId="49" fontId="15" fillId="0" borderId="7" xfId="0" applyNumberFormat="1" applyFont="1" applyBorder="1" applyAlignment="1">
      <alignment horizontal="center"/>
    </xf>
    <xf numFmtId="0" fontId="18" fillId="0" borderId="4" xfId="0" applyFont="1" applyBorder="1" applyAlignment="1">
      <alignment/>
    </xf>
    <xf numFmtId="0" fontId="20" fillId="0" borderId="4" xfId="0" applyFont="1" applyBorder="1" applyAlignment="1">
      <alignment/>
    </xf>
    <xf numFmtId="0" fontId="18" fillId="0" borderId="1" xfId="0" applyFont="1" applyBorder="1" applyAlignment="1">
      <alignment/>
    </xf>
    <xf numFmtId="0" fontId="15" fillId="0" borderId="21" xfId="0" applyFont="1" applyBorder="1" applyAlignment="1">
      <alignment horizontal="center"/>
    </xf>
    <xf numFmtId="0" fontId="18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/>
    </xf>
    <xf numFmtId="49" fontId="15" fillId="0" borderId="22" xfId="0" applyNumberFormat="1" applyFont="1" applyBorder="1" applyAlignment="1">
      <alignment horizontal="center"/>
    </xf>
    <xf numFmtId="49" fontId="15" fillId="0" borderId="23" xfId="0" applyNumberFormat="1" applyFont="1" applyBorder="1" applyAlignment="1">
      <alignment horizontal="center"/>
    </xf>
    <xf numFmtId="0" fontId="18" fillId="0" borderId="24" xfId="0" applyFont="1" applyBorder="1" applyAlignment="1">
      <alignment/>
    </xf>
    <xf numFmtId="0" fontId="20" fillId="0" borderId="1" xfId="0" applyFont="1" applyBorder="1" applyAlignment="1">
      <alignment/>
    </xf>
    <xf numFmtId="0" fontId="15" fillId="0" borderId="0" xfId="0" applyFont="1" applyAlignment="1">
      <alignment horizontal="center"/>
    </xf>
    <xf numFmtId="194" fontId="0" fillId="0" borderId="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194" fontId="15" fillId="0" borderId="0" xfId="15" applyFont="1" applyAlignment="1">
      <alignment/>
    </xf>
    <xf numFmtId="0" fontId="15" fillId="0" borderId="0" xfId="0" applyFon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1" fillId="0" borderId="2" xfId="0" applyFont="1" applyBorder="1" applyAlignment="1">
      <alignment/>
    </xf>
    <xf numFmtId="49" fontId="2" fillId="0" borderId="0" xfId="0" applyNumberFormat="1" applyFont="1" applyAlignment="1">
      <alignment horizontal="right"/>
    </xf>
    <xf numFmtId="194" fontId="15" fillId="0" borderId="0" xfId="15" applyFont="1" applyBorder="1" applyAlignment="1">
      <alignment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" fontId="19" fillId="0" borderId="0" xfId="0" applyNumberFormat="1" applyFont="1" applyAlignment="1">
      <alignment horizontal="right"/>
    </xf>
    <xf numFmtId="4" fontId="19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13" fillId="0" borderId="12" xfId="0" applyNumberFormat="1" applyFont="1" applyBorder="1" applyAlignment="1">
      <alignment/>
    </xf>
    <xf numFmtId="49" fontId="13" fillId="0" borderId="8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8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49" fontId="14" fillId="0" borderId="0" xfId="0" applyNumberFormat="1" applyFont="1" applyAlignment="1">
      <alignment/>
    </xf>
    <xf numFmtId="49" fontId="13" fillId="0" borderId="14" xfId="0" applyNumberFormat="1" applyFont="1" applyBorder="1" applyAlignment="1">
      <alignment/>
    </xf>
    <xf numFmtId="49" fontId="13" fillId="0" borderId="15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4" fillId="0" borderId="15" xfId="0" applyNumberFormat="1" applyFont="1" applyBorder="1" applyAlignment="1">
      <alignment/>
    </xf>
    <xf numFmtId="49" fontId="13" fillId="0" borderId="7" xfId="0" applyNumberFormat="1" applyFont="1" applyBorder="1" applyAlignment="1">
      <alignment/>
    </xf>
    <xf numFmtId="194" fontId="13" fillId="0" borderId="7" xfId="0" applyNumberFormat="1" applyFont="1" applyBorder="1" applyAlignment="1">
      <alignment/>
    </xf>
    <xf numFmtId="194" fontId="13" fillId="0" borderId="3" xfId="0" applyNumberFormat="1" applyFont="1" applyBorder="1" applyAlignment="1">
      <alignment/>
    </xf>
    <xf numFmtId="194" fontId="13" fillId="0" borderId="8" xfId="0" applyNumberFormat="1" applyFont="1" applyBorder="1" applyAlignment="1">
      <alignment/>
    </xf>
    <xf numFmtId="194" fontId="14" fillId="0" borderId="8" xfId="0" applyNumberFormat="1" applyFont="1" applyBorder="1" applyAlignment="1">
      <alignment/>
    </xf>
    <xf numFmtId="0" fontId="14" fillId="0" borderId="0" xfId="0" applyFont="1" applyAlignment="1">
      <alignment/>
    </xf>
    <xf numFmtId="49" fontId="14" fillId="0" borderId="6" xfId="0" applyNumberFormat="1" applyFont="1" applyBorder="1" applyAlignment="1">
      <alignment horizontal="right"/>
    </xf>
    <xf numFmtId="194" fontId="14" fillId="0" borderId="6" xfId="0" applyNumberFormat="1" applyFont="1" applyBorder="1" applyAlignment="1">
      <alignment horizontal="right"/>
    </xf>
    <xf numFmtId="194" fontId="14" fillId="0" borderId="6" xfId="0" applyNumberFormat="1" applyFont="1" applyBorder="1" applyAlignment="1">
      <alignment/>
    </xf>
    <xf numFmtId="0" fontId="13" fillId="0" borderId="6" xfId="0" applyFont="1" applyBorder="1" applyAlignment="1">
      <alignment/>
    </xf>
    <xf numFmtId="194" fontId="13" fillId="0" borderId="6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6" xfId="0" applyFont="1" applyBorder="1" applyAlignment="1">
      <alignment horizontal="left"/>
    </xf>
    <xf numFmtId="194" fontId="13" fillId="0" borderId="6" xfId="0" applyNumberFormat="1" applyFont="1" applyBorder="1" applyAlignment="1">
      <alignment/>
    </xf>
    <xf numFmtId="194" fontId="13" fillId="0" borderId="9" xfId="0" applyNumberFormat="1" applyFont="1" applyBorder="1" applyAlignment="1">
      <alignment/>
    </xf>
    <xf numFmtId="0" fontId="14" fillId="0" borderId="6" xfId="0" applyFont="1" applyBorder="1" applyAlignment="1">
      <alignment/>
    </xf>
    <xf numFmtId="194" fontId="13" fillId="0" borderId="9" xfId="0" applyNumberFormat="1" applyFont="1" applyBorder="1" applyAlignment="1">
      <alignment horizontal="right"/>
    </xf>
    <xf numFmtId="0" fontId="13" fillId="0" borderId="7" xfId="0" applyFont="1" applyBorder="1" applyAlignment="1">
      <alignment horizontal="left"/>
    </xf>
    <xf numFmtId="194" fontId="13" fillId="0" borderId="7" xfId="0" applyNumberFormat="1" applyFont="1" applyBorder="1" applyAlignment="1">
      <alignment horizontal="right"/>
    </xf>
    <xf numFmtId="194" fontId="13" fillId="0" borderId="3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94" fontId="13" fillId="0" borderId="0" xfId="0" applyNumberFormat="1" applyFont="1" applyBorder="1" applyAlignment="1">
      <alignment horizontal="right"/>
    </xf>
    <xf numFmtId="19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94" fontId="13" fillId="0" borderId="0" xfId="0" applyNumberFormat="1" applyFont="1" applyBorder="1" applyAlignment="1">
      <alignment horizontal="center"/>
    </xf>
    <xf numFmtId="194" fontId="13" fillId="0" borderId="10" xfId="0" applyNumberFormat="1" applyFont="1" applyBorder="1" applyAlignment="1">
      <alignment/>
    </xf>
    <xf numFmtId="0" fontId="14" fillId="0" borderId="6" xfId="0" applyFont="1" applyBorder="1" applyAlignment="1">
      <alignment horizontal="right"/>
    </xf>
    <xf numFmtId="194" fontId="13" fillId="0" borderId="25" xfId="0" applyNumberFormat="1" applyFont="1" applyBorder="1" applyAlignment="1">
      <alignment/>
    </xf>
    <xf numFmtId="0" fontId="14" fillId="0" borderId="0" xfId="0" applyFont="1" applyBorder="1" applyAlignment="1">
      <alignment/>
    </xf>
    <xf numFmtId="194" fontId="18" fillId="0" borderId="0" xfId="15" applyFont="1" applyAlignment="1">
      <alignment/>
    </xf>
    <xf numFmtId="194" fontId="17" fillId="0" borderId="0" xfId="15" applyFont="1" applyAlignment="1">
      <alignment/>
    </xf>
    <xf numFmtId="194" fontId="14" fillId="0" borderId="6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8" fillId="0" borderId="0" xfId="0" applyFont="1" applyAlignment="1">
      <alignment/>
    </xf>
    <xf numFmtId="0" fontId="19" fillId="0" borderId="21" xfId="0" applyFont="1" applyBorder="1" applyAlignment="1">
      <alignment horizontal="center"/>
    </xf>
    <xf numFmtId="0" fontId="15" fillId="0" borderId="21" xfId="0" applyFont="1" applyBorder="1" applyAlignment="1">
      <alignment horizontal="left"/>
    </xf>
    <xf numFmtId="194" fontId="19" fillId="0" borderId="21" xfId="15" applyFont="1" applyBorder="1" applyAlignment="1">
      <alignment/>
    </xf>
    <xf numFmtId="0" fontId="19" fillId="0" borderId="7" xfId="0" applyFont="1" applyBorder="1" applyAlignment="1">
      <alignment horizontal="center"/>
    </xf>
    <xf numFmtId="0" fontId="15" fillId="0" borderId="7" xfId="0" applyFont="1" applyBorder="1" applyAlignment="1">
      <alignment/>
    </xf>
    <xf numFmtId="194" fontId="19" fillId="0" borderId="7" xfId="15" applyFont="1" applyBorder="1" applyAlignment="1">
      <alignment/>
    </xf>
    <xf numFmtId="0" fontId="24" fillId="0" borderId="6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5" fillId="0" borderId="26" xfId="0" applyFont="1" applyBorder="1" applyAlignment="1">
      <alignment/>
    </xf>
    <xf numFmtId="194" fontId="19" fillId="0" borderId="26" xfId="15" applyFont="1" applyBorder="1" applyAlignment="1">
      <alignment/>
    </xf>
    <xf numFmtId="194" fontId="19" fillId="0" borderId="27" xfId="0" applyNumberFormat="1" applyFont="1" applyBorder="1" applyAlignment="1">
      <alignment/>
    </xf>
    <xf numFmtId="194" fontId="19" fillId="0" borderId="0" xfId="0" applyNumberFormat="1" applyFont="1" applyBorder="1" applyAlignment="1">
      <alignment/>
    </xf>
    <xf numFmtId="0" fontId="25" fillId="0" borderId="21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94" fontId="24" fillId="0" borderId="21" xfId="15" applyFont="1" applyBorder="1" applyAlignment="1">
      <alignment horizontal="center"/>
    </xf>
    <xf numFmtId="0" fontId="19" fillId="0" borderId="7" xfId="0" applyFont="1" applyBorder="1" applyAlignment="1">
      <alignment horizontal="left"/>
    </xf>
    <xf numFmtId="0" fontId="24" fillId="0" borderId="7" xfId="0" applyFont="1" applyBorder="1" applyAlignment="1">
      <alignment horizontal="center"/>
    </xf>
    <xf numFmtId="0" fontId="19" fillId="0" borderId="26" xfId="0" applyFont="1" applyBorder="1" applyAlignment="1">
      <alignment horizontal="left"/>
    </xf>
    <xf numFmtId="194" fontId="24" fillId="0" borderId="26" xfId="15" applyFont="1" applyBorder="1" applyAlignment="1">
      <alignment horizontal="right"/>
    </xf>
    <xf numFmtId="0" fontId="24" fillId="0" borderId="26" xfId="0" applyFont="1" applyBorder="1" applyAlignment="1">
      <alignment horizontal="center"/>
    </xf>
    <xf numFmtId="0" fontId="25" fillId="0" borderId="26" xfId="0" applyFont="1" applyBorder="1" applyAlignment="1">
      <alignment horizontal="left"/>
    </xf>
    <xf numFmtId="194" fontId="24" fillId="0" borderId="27" xfId="0" applyNumberFormat="1" applyFont="1" applyBorder="1" applyAlignment="1">
      <alignment horizontal="center"/>
    </xf>
    <xf numFmtId="194" fontId="24" fillId="0" borderId="28" xfId="15" applyFont="1" applyBorder="1" applyAlignment="1">
      <alignment horizontal="right"/>
    </xf>
    <xf numFmtId="194" fontId="24" fillId="0" borderId="29" xfId="15" applyFont="1" applyBorder="1" applyAlignment="1">
      <alignment horizontal="center"/>
    </xf>
    <xf numFmtId="194" fontId="24" fillId="0" borderId="6" xfId="15" applyFont="1" applyBorder="1" applyAlignment="1">
      <alignment horizontal="center"/>
    </xf>
    <xf numFmtId="194" fontId="24" fillId="0" borderId="28" xfId="15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194" fontId="24" fillId="0" borderId="6" xfId="0" applyNumberFormat="1" applyFont="1" applyBorder="1" applyAlignment="1">
      <alignment horizontal="center"/>
    </xf>
    <xf numFmtId="194" fontId="23" fillId="0" borderId="0" xfId="15" applyFont="1" applyAlignment="1">
      <alignment/>
    </xf>
    <xf numFmtId="194" fontId="18" fillId="0" borderId="0" xfId="15" applyFont="1" applyAlignment="1">
      <alignment horizontal="center"/>
    </xf>
    <xf numFmtId="0" fontId="15" fillId="0" borderId="0" xfId="0" applyFont="1" applyAlignment="1">
      <alignment horizontal="right"/>
    </xf>
    <xf numFmtId="194" fontId="15" fillId="0" borderId="30" xfId="15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194" fontId="13" fillId="0" borderId="25" xfId="0" applyNumberFormat="1" applyFont="1" applyBorder="1" applyAlignment="1">
      <alignment horizontal="center"/>
    </xf>
    <xf numFmtId="194" fontId="0" fillId="0" borderId="8" xfId="0" applyNumberFormat="1" applyFont="1" applyBorder="1" applyAlignment="1">
      <alignment/>
    </xf>
    <xf numFmtId="49" fontId="0" fillId="0" borderId="6" xfId="0" applyNumberFormat="1" applyFont="1" applyBorder="1" applyAlignment="1">
      <alignment horizontal="right"/>
    </xf>
    <xf numFmtId="194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right"/>
    </xf>
    <xf numFmtId="0" fontId="4" fillId="0" borderId="0" xfId="0" applyFont="1" applyBorder="1" applyAlignment="1">
      <alignment/>
    </xf>
    <xf numFmtId="194" fontId="0" fillId="0" borderId="0" xfId="0" applyNumberFormat="1" applyFont="1" applyBorder="1" applyAlignment="1">
      <alignment horizontal="center"/>
    </xf>
    <xf numFmtId="194" fontId="0" fillId="0" borderId="0" xfId="0" applyNumberFormat="1" applyFont="1" applyBorder="1" applyAlignment="1">
      <alignment horizontal="right"/>
    </xf>
    <xf numFmtId="194" fontId="4" fillId="0" borderId="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194" fontId="4" fillId="0" borderId="20" xfId="0" applyNumberFormat="1" applyFont="1" applyBorder="1" applyAlignment="1">
      <alignment horizontal="right"/>
    </xf>
    <xf numFmtId="194" fontId="4" fillId="0" borderId="25" xfId="0" applyNumberFormat="1" applyFont="1" applyBorder="1" applyAlignment="1">
      <alignment horizontal="right"/>
    </xf>
    <xf numFmtId="194" fontId="0" fillId="0" borderId="25" xfId="0" applyNumberFormat="1" applyFont="1" applyBorder="1" applyAlignment="1">
      <alignment horizontal="center"/>
    </xf>
    <xf numFmtId="194" fontId="0" fillId="0" borderId="25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4" fillId="0" borderId="7" xfId="0" applyFont="1" applyBorder="1" applyAlignment="1">
      <alignment/>
    </xf>
    <xf numFmtId="19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94" fontId="0" fillId="0" borderId="25" xfId="0" applyNumberFormat="1" applyFont="1" applyBorder="1" applyAlignment="1">
      <alignment/>
    </xf>
    <xf numFmtId="194" fontId="0" fillId="0" borderId="0" xfId="0" applyNumberFormat="1" applyFont="1" applyBorder="1" applyAlignment="1">
      <alignment/>
    </xf>
    <xf numFmtId="194" fontId="24" fillId="0" borderId="31" xfId="15" applyFont="1" applyBorder="1" applyAlignment="1">
      <alignment horizontal="right"/>
    </xf>
    <xf numFmtId="194" fontId="18" fillId="0" borderId="0" xfId="0" applyNumberFormat="1" applyFont="1" applyAlignment="1">
      <alignment/>
    </xf>
    <xf numFmtId="0" fontId="25" fillId="0" borderId="29" xfId="0" applyFont="1" applyBorder="1" applyAlignment="1">
      <alignment horizontal="left"/>
    </xf>
    <xf numFmtId="0" fontId="19" fillId="0" borderId="6" xfId="0" applyFont="1" applyBorder="1" applyAlignment="1">
      <alignment/>
    </xf>
    <xf numFmtId="0" fontId="19" fillId="0" borderId="6" xfId="0" applyFont="1" applyBorder="1" applyAlignment="1">
      <alignment horizontal="center"/>
    </xf>
    <xf numFmtId="0" fontId="15" fillId="0" borderId="6" xfId="0" applyFont="1" applyBorder="1" applyAlignment="1">
      <alignment/>
    </xf>
    <xf numFmtId="194" fontId="15" fillId="0" borderId="27" xfId="15" applyFont="1" applyBorder="1" applyAlignment="1">
      <alignment/>
    </xf>
    <xf numFmtId="0" fontId="19" fillId="0" borderId="20" xfId="0" applyFont="1" applyBorder="1" applyAlignment="1">
      <alignment horizontal="center"/>
    </xf>
    <xf numFmtId="194" fontId="15" fillId="0" borderId="20" xfId="15" applyFont="1" applyBorder="1" applyAlignment="1">
      <alignment/>
    </xf>
    <xf numFmtId="0" fontId="15" fillId="0" borderId="21" xfId="0" applyFont="1" applyBorder="1" applyAlignment="1">
      <alignment/>
    </xf>
    <xf numFmtId="194" fontId="15" fillId="0" borderId="21" xfId="15" applyFont="1" applyBorder="1" applyAlignment="1">
      <alignment/>
    </xf>
    <xf numFmtId="0" fontId="24" fillId="0" borderId="0" xfId="0" applyFont="1" applyBorder="1" applyAlignment="1">
      <alignment horizontal="center"/>
    </xf>
    <xf numFmtId="194" fontId="24" fillId="0" borderId="6" xfId="15" applyFont="1" applyBorder="1" applyAlignment="1">
      <alignment horizontal="right"/>
    </xf>
    <xf numFmtId="49" fontId="0" fillId="0" borderId="7" xfId="0" applyNumberFormat="1" applyFont="1" applyBorder="1" applyAlignment="1">
      <alignment/>
    </xf>
    <xf numFmtId="194" fontId="0" fillId="0" borderId="7" xfId="0" applyNumberFormat="1" applyFont="1" applyBorder="1" applyAlignment="1">
      <alignment/>
    </xf>
    <xf numFmtId="194" fontId="0" fillId="0" borderId="3" xfId="0" applyNumberFormat="1" applyFont="1" applyBorder="1" applyAlignment="1">
      <alignment/>
    </xf>
    <xf numFmtId="194" fontId="0" fillId="0" borderId="8" xfId="0" applyNumberFormat="1" applyFont="1" applyBorder="1" applyAlignment="1">
      <alignment/>
    </xf>
    <xf numFmtId="49" fontId="0" fillId="0" borderId="6" xfId="0" applyNumberFormat="1" applyFont="1" applyBorder="1" applyAlignment="1">
      <alignment horizontal="right"/>
    </xf>
    <xf numFmtId="194" fontId="0" fillId="0" borderId="6" xfId="0" applyNumberFormat="1" applyFont="1" applyBorder="1" applyAlignment="1">
      <alignment horizontal="right"/>
    </xf>
    <xf numFmtId="194" fontId="0" fillId="0" borderId="9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8" fillId="0" borderId="6" xfId="0" applyFont="1" applyBorder="1" applyAlignment="1">
      <alignment/>
    </xf>
    <xf numFmtId="194" fontId="8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194" fontId="0" fillId="0" borderId="9" xfId="0" applyNumberFormat="1" applyFont="1" applyBorder="1" applyAlignment="1">
      <alignment horizontal="right"/>
    </xf>
    <xf numFmtId="194" fontId="8" fillId="0" borderId="20" xfId="0" applyNumberFormat="1" applyFont="1" applyBorder="1" applyAlignment="1">
      <alignment horizontal="right"/>
    </xf>
    <xf numFmtId="0" fontId="0" fillId="0" borderId="7" xfId="0" applyFont="1" applyBorder="1" applyAlignment="1">
      <alignment horizontal="left"/>
    </xf>
    <xf numFmtId="194" fontId="0" fillId="0" borderId="7" xfId="0" applyNumberFormat="1" applyFont="1" applyBorder="1" applyAlignment="1">
      <alignment horizontal="right"/>
    </xf>
    <xf numFmtId="194" fontId="0" fillId="0" borderId="3" xfId="0" applyNumberFormat="1" applyFont="1" applyBorder="1" applyAlignment="1">
      <alignment horizontal="right"/>
    </xf>
    <xf numFmtId="0" fontId="8" fillId="0" borderId="7" xfId="0" applyFont="1" applyBorder="1" applyAlignment="1">
      <alignment/>
    </xf>
    <xf numFmtId="194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94" fontId="8" fillId="0" borderId="0" xfId="0" applyNumberFormat="1" applyFont="1" applyBorder="1" applyAlignment="1">
      <alignment horizontal="right"/>
    </xf>
    <xf numFmtId="194" fontId="8" fillId="0" borderId="0" xfId="0" applyNumberFormat="1" applyFont="1" applyBorder="1" applyAlignment="1">
      <alignment/>
    </xf>
    <xf numFmtId="0" fontId="0" fillId="0" borderId="6" xfId="0" applyFont="1" applyBorder="1" applyAlignment="1">
      <alignment horizontal="right"/>
    </xf>
    <xf numFmtId="0" fontId="8" fillId="0" borderId="0" xfId="0" applyFont="1" applyBorder="1" applyAlignment="1">
      <alignment/>
    </xf>
    <xf numFmtId="194" fontId="8" fillId="0" borderId="25" xfId="0" applyNumberFormat="1" applyFont="1" applyBorder="1" applyAlignment="1">
      <alignment horizontal="right"/>
    </xf>
    <xf numFmtId="194" fontId="8" fillId="0" borderId="25" xfId="0" applyNumberFormat="1" applyFont="1" applyBorder="1" applyAlignment="1">
      <alignment/>
    </xf>
    <xf numFmtId="49" fontId="19" fillId="0" borderId="12" xfId="0" applyNumberFormat="1" applyFont="1" applyBorder="1" applyAlignment="1">
      <alignment/>
    </xf>
    <xf numFmtId="49" fontId="19" fillId="0" borderId="8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19" fillId="0" borderId="8" xfId="0" applyNumberFormat="1" applyFont="1" applyFill="1" applyBorder="1" applyAlignment="1">
      <alignment horizontal="center"/>
    </xf>
    <xf numFmtId="49" fontId="19" fillId="0" borderId="19" xfId="0" applyNumberFormat="1" applyFont="1" applyFill="1" applyBorder="1" applyAlignment="1">
      <alignment horizontal="center"/>
    </xf>
    <xf numFmtId="49" fontId="19" fillId="0" borderId="0" xfId="0" applyNumberFormat="1" applyFont="1" applyAlignment="1">
      <alignment/>
    </xf>
    <xf numFmtId="49" fontId="19" fillId="0" borderId="14" xfId="0" applyNumberFormat="1" applyFont="1" applyBorder="1" applyAlignment="1">
      <alignment/>
    </xf>
    <xf numFmtId="49" fontId="19" fillId="0" borderId="15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49" fontId="19" fillId="0" borderId="17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19" fillId="0" borderId="18" xfId="0" applyNumberFormat="1" applyFont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49" fontId="19" fillId="0" borderId="15" xfId="0" applyNumberFormat="1" applyFont="1" applyBorder="1" applyAlignment="1">
      <alignment/>
    </xf>
    <xf numFmtId="49" fontId="19" fillId="0" borderId="7" xfId="0" applyNumberFormat="1" applyFont="1" applyBorder="1" applyAlignment="1">
      <alignment/>
    </xf>
    <xf numFmtId="194" fontId="19" fillId="0" borderId="7" xfId="0" applyNumberFormat="1" applyFont="1" applyBorder="1" applyAlignment="1">
      <alignment/>
    </xf>
    <xf numFmtId="194" fontId="19" fillId="0" borderId="3" xfId="0" applyNumberFormat="1" applyFont="1" applyBorder="1" applyAlignment="1">
      <alignment/>
    </xf>
    <xf numFmtId="194" fontId="19" fillId="0" borderId="8" xfId="0" applyNumberFormat="1" applyFont="1" applyBorder="1" applyAlignment="1">
      <alignment/>
    </xf>
    <xf numFmtId="49" fontId="19" fillId="0" borderId="6" xfId="0" applyNumberFormat="1" applyFont="1" applyBorder="1" applyAlignment="1">
      <alignment horizontal="right"/>
    </xf>
    <xf numFmtId="194" fontId="19" fillId="0" borderId="6" xfId="0" applyNumberFormat="1" applyFont="1" applyBorder="1" applyAlignment="1">
      <alignment horizontal="right"/>
    </xf>
    <xf numFmtId="194" fontId="19" fillId="0" borderId="6" xfId="0" applyNumberFormat="1" applyFont="1" applyBorder="1" applyAlignment="1">
      <alignment/>
    </xf>
    <xf numFmtId="194" fontId="19" fillId="0" borderId="9" xfId="0" applyNumberFormat="1" applyFont="1" applyBorder="1" applyAlignment="1">
      <alignment/>
    </xf>
    <xf numFmtId="0" fontId="32" fillId="0" borderId="6" xfId="0" applyFont="1" applyBorder="1" applyAlignment="1">
      <alignment/>
    </xf>
    <xf numFmtId="194" fontId="32" fillId="0" borderId="6" xfId="0" applyNumberFormat="1" applyFont="1" applyBorder="1" applyAlignment="1">
      <alignment horizontal="right"/>
    </xf>
    <xf numFmtId="194" fontId="32" fillId="0" borderId="6" xfId="0" applyNumberFormat="1" applyFont="1" applyBorder="1" applyAlignment="1">
      <alignment/>
    </xf>
    <xf numFmtId="0" fontId="32" fillId="0" borderId="0" xfId="0" applyFont="1" applyAlignment="1">
      <alignment/>
    </xf>
    <xf numFmtId="0" fontId="19" fillId="0" borderId="6" xfId="0" applyFont="1" applyBorder="1" applyAlignment="1">
      <alignment horizontal="left"/>
    </xf>
    <xf numFmtId="194" fontId="19" fillId="0" borderId="9" xfId="0" applyNumberFormat="1" applyFont="1" applyBorder="1" applyAlignment="1">
      <alignment horizontal="right"/>
    </xf>
    <xf numFmtId="194" fontId="32" fillId="0" borderId="20" xfId="0" applyNumberFormat="1" applyFont="1" applyBorder="1" applyAlignment="1">
      <alignment horizontal="right"/>
    </xf>
    <xf numFmtId="194" fontId="19" fillId="0" borderId="7" xfId="0" applyNumberFormat="1" applyFont="1" applyBorder="1" applyAlignment="1">
      <alignment horizontal="right"/>
    </xf>
    <xf numFmtId="194" fontId="19" fillId="0" borderId="3" xfId="0" applyNumberFormat="1" applyFont="1" applyBorder="1" applyAlignment="1">
      <alignment horizontal="right"/>
    </xf>
    <xf numFmtId="0" fontId="32" fillId="0" borderId="7" xfId="0" applyFont="1" applyBorder="1" applyAlignment="1">
      <alignment/>
    </xf>
    <xf numFmtId="194" fontId="19" fillId="0" borderId="10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194" fontId="32" fillId="0" borderId="0" xfId="0" applyNumberFormat="1" applyFont="1" applyBorder="1" applyAlignment="1">
      <alignment horizontal="right"/>
    </xf>
    <xf numFmtId="194" fontId="19" fillId="0" borderId="0" xfId="0" applyNumberFormat="1" applyFont="1" applyBorder="1" applyAlignment="1">
      <alignment horizontal="right"/>
    </xf>
    <xf numFmtId="194" fontId="32" fillId="0" borderId="0" xfId="0" applyNumberFormat="1" applyFont="1" applyBorder="1" applyAlignment="1">
      <alignment/>
    </xf>
    <xf numFmtId="194" fontId="33" fillId="0" borderId="0" xfId="0" applyNumberFormat="1" applyFont="1" applyBorder="1" applyAlignment="1">
      <alignment horizontal="right"/>
    </xf>
    <xf numFmtId="194" fontId="19" fillId="0" borderId="0" xfId="0" applyNumberFormat="1" applyFont="1" applyBorder="1" applyAlignment="1">
      <alignment horizontal="center"/>
    </xf>
    <xf numFmtId="194" fontId="33" fillId="0" borderId="0" xfId="0" applyNumberFormat="1" applyFont="1" applyBorder="1" applyAlignment="1">
      <alignment/>
    </xf>
    <xf numFmtId="0" fontId="19" fillId="0" borderId="6" xfId="0" applyFont="1" applyBorder="1" applyAlignment="1">
      <alignment horizontal="right"/>
    </xf>
    <xf numFmtId="0" fontId="32" fillId="0" borderId="0" xfId="0" applyFont="1" applyBorder="1" applyAlignment="1">
      <alignment/>
    </xf>
    <xf numFmtId="194" fontId="32" fillId="0" borderId="25" xfId="0" applyNumberFormat="1" applyFont="1" applyBorder="1" applyAlignment="1">
      <alignment horizontal="right"/>
    </xf>
    <xf numFmtId="194" fontId="32" fillId="0" borderId="25" xfId="0" applyNumberFormat="1" applyFont="1" applyBorder="1" applyAlignment="1">
      <alignment/>
    </xf>
    <xf numFmtId="0" fontId="33" fillId="0" borderId="0" xfId="0" applyFont="1" applyBorder="1" applyAlignment="1">
      <alignment/>
    </xf>
    <xf numFmtId="194" fontId="24" fillId="0" borderId="0" xfId="0" applyNumberFormat="1" applyFont="1" applyBorder="1" applyAlignment="1">
      <alignment horizontal="right"/>
    </xf>
    <xf numFmtId="49" fontId="13" fillId="0" borderId="32" xfId="0" applyNumberFormat="1" applyFont="1" applyBorder="1" applyAlignment="1">
      <alignment/>
    </xf>
    <xf numFmtId="49" fontId="13" fillId="0" borderId="33" xfId="0" applyNumberFormat="1" applyFont="1" applyBorder="1" applyAlignment="1">
      <alignment/>
    </xf>
    <xf numFmtId="0" fontId="13" fillId="0" borderId="7" xfId="0" applyFont="1" applyBorder="1" applyAlignment="1">
      <alignment horizontal="left"/>
    </xf>
    <xf numFmtId="194" fontId="13" fillId="0" borderId="7" xfId="0" applyNumberFormat="1" applyFont="1" applyBorder="1" applyAlignment="1">
      <alignment horizontal="right"/>
    </xf>
    <xf numFmtId="194" fontId="13" fillId="0" borderId="3" xfId="0" applyNumberFormat="1" applyFont="1" applyBorder="1" applyAlignment="1">
      <alignment horizontal="right"/>
    </xf>
    <xf numFmtId="194" fontId="13" fillId="0" borderId="7" xfId="0" applyNumberFormat="1" applyFont="1" applyBorder="1" applyAlignment="1">
      <alignment/>
    </xf>
    <xf numFmtId="194" fontId="13" fillId="0" borderId="3" xfId="0" applyNumberFormat="1" applyFont="1" applyBorder="1" applyAlignment="1">
      <alignment/>
    </xf>
    <xf numFmtId="194" fontId="14" fillId="0" borderId="6" xfId="0" applyNumberFormat="1" applyFont="1" applyBorder="1" applyAlignment="1">
      <alignment/>
    </xf>
    <xf numFmtId="0" fontId="14" fillId="0" borderId="6" xfId="0" applyFont="1" applyBorder="1" applyAlignment="1">
      <alignment/>
    </xf>
    <xf numFmtId="0" fontId="13" fillId="0" borderId="6" xfId="0" applyFont="1" applyBorder="1" applyAlignment="1">
      <alignment horizontal="left"/>
    </xf>
    <xf numFmtId="194" fontId="13" fillId="0" borderId="9" xfId="0" applyNumberFormat="1" applyFont="1" applyBorder="1" applyAlignment="1">
      <alignment horizontal="right"/>
    </xf>
    <xf numFmtId="194" fontId="13" fillId="0" borderId="9" xfId="0" applyNumberFormat="1" applyFont="1" applyBorder="1" applyAlignment="1">
      <alignment/>
    </xf>
    <xf numFmtId="0" fontId="13" fillId="0" borderId="7" xfId="0" applyFont="1" applyBorder="1" applyAlignment="1">
      <alignment/>
    </xf>
    <xf numFmtId="194" fontId="13" fillId="0" borderId="10" xfId="0" applyNumberFormat="1" applyFont="1" applyBorder="1" applyAlignment="1">
      <alignment/>
    </xf>
    <xf numFmtId="0" fontId="14" fillId="0" borderId="6" xfId="0" applyFont="1" applyBorder="1" applyAlignment="1">
      <alignment horizontal="right"/>
    </xf>
    <xf numFmtId="194" fontId="13" fillId="0" borderId="25" xfId="0" applyNumberFormat="1" applyFont="1" applyBorder="1" applyAlignment="1">
      <alignment horizontal="right"/>
    </xf>
    <xf numFmtId="194" fontId="14" fillId="0" borderId="25" xfId="0" applyNumberFormat="1" applyFont="1" applyBorder="1" applyAlignment="1">
      <alignment/>
    </xf>
    <xf numFmtId="49" fontId="13" fillId="0" borderId="7" xfId="0" applyNumberFormat="1" applyFont="1" applyBorder="1" applyAlignment="1">
      <alignment/>
    </xf>
    <xf numFmtId="194" fontId="13" fillId="0" borderId="8" xfId="0" applyNumberFormat="1" applyFont="1" applyBorder="1" applyAlignment="1">
      <alignment/>
    </xf>
    <xf numFmtId="194" fontId="14" fillId="0" borderId="8" xfId="0" applyNumberFormat="1" applyFont="1" applyBorder="1" applyAlignment="1">
      <alignment/>
    </xf>
    <xf numFmtId="49" fontId="14" fillId="0" borderId="6" xfId="0" applyNumberFormat="1" applyFont="1" applyBorder="1" applyAlignment="1">
      <alignment horizontal="right"/>
    </xf>
    <xf numFmtId="194" fontId="14" fillId="0" borderId="9" xfId="0" applyNumberFormat="1" applyFont="1" applyBorder="1" applyAlignment="1">
      <alignment/>
    </xf>
    <xf numFmtId="194" fontId="13" fillId="0" borderId="0" xfId="0" applyNumberFormat="1" applyFont="1" applyBorder="1" applyAlignment="1">
      <alignment/>
    </xf>
    <xf numFmtId="194" fontId="14" fillId="0" borderId="6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49" fontId="4" fillId="0" borderId="12" xfId="0" applyNumberFormat="1" applyFont="1" applyBorder="1" applyAlignment="1">
      <alignment/>
    </xf>
    <xf numFmtId="49" fontId="4" fillId="0" borderId="8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/>
    </xf>
    <xf numFmtId="15" fontId="2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194" fontId="23" fillId="0" borderId="0" xfId="15" applyFont="1" applyAlignment="1">
      <alignment horizontal="left"/>
    </xf>
    <xf numFmtId="194" fontId="23" fillId="0" borderId="0" xfId="15" applyFont="1" applyAlignment="1">
      <alignment horizontal="right"/>
    </xf>
    <xf numFmtId="194" fontId="15" fillId="0" borderId="36" xfId="15" applyFont="1" applyBorder="1" applyAlignment="1">
      <alignment/>
    </xf>
    <xf numFmtId="194" fontId="15" fillId="0" borderId="4" xfId="15" applyFont="1" applyBorder="1" applyAlignment="1">
      <alignment/>
    </xf>
    <xf numFmtId="194" fontId="15" fillId="0" borderId="4" xfId="15" applyFont="1" applyBorder="1" applyAlignment="1">
      <alignment horizontal="right"/>
    </xf>
    <xf numFmtId="194" fontId="15" fillId="0" borderId="4" xfId="15" applyFont="1" applyBorder="1" applyAlignment="1">
      <alignment horizontal="center"/>
    </xf>
    <xf numFmtId="194" fontId="18" fillId="0" borderId="0" xfId="15" applyFont="1" applyBorder="1" applyAlignment="1">
      <alignment/>
    </xf>
    <xf numFmtId="194" fontId="18" fillId="0" borderId="4" xfId="15" applyFont="1" applyBorder="1" applyAlignment="1">
      <alignment/>
    </xf>
    <xf numFmtId="194" fontId="15" fillId="0" borderId="10" xfId="15" applyFont="1" applyBorder="1" applyAlignment="1">
      <alignment/>
    </xf>
    <xf numFmtId="0" fontId="18" fillId="0" borderId="37" xfId="0" applyFont="1" applyBorder="1" applyAlignment="1">
      <alignment/>
    </xf>
    <xf numFmtId="0" fontId="20" fillId="0" borderId="0" xfId="0" applyFont="1" applyBorder="1" applyAlignment="1">
      <alignment/>
    </xf>
    <xf numFmtId="194" fontId="15" fillId="0" borderId="22" xfId="15" applyFont="1" applyBorder="1" applyAlignment="1">
      <alignment/>
    </xf>
    <xf numFmtId="194" fontId="15" fillId="0" borderId="21" xfId="15" applyFont="1" applyBorder="1" applyAlignment="1">
      <alignment horizontal="right"/>
    </xf>
    <xf numFmtId="194" fontId="15" fillId="0" borderId="21" xfId="15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194" fontId="15" fillId="0" borderId="7" xfId="15" applyFont="1" applyBorder="1" applyAlignment="1">
      <alignment horizontal="center"/>
    </xf>
    <xf numFmtId="194" fontId="18" fillId="0" borderId="34" xfId="15" applyFont="1" applyBorder="1" applyAlignment="1">
      <alignment horizontal="center"/>
    </xf>
    <xf numFmtId="194" fontId="18" fillId="0" borderId="35" xfId="15" applyFont="1" applyBorder="1" applyAlignment="1">
      <alignment horizontal="center"/>
    </xf>
    <xf numFmtId="194" fontId="28" fillId="0" borderId="0" xfId="15" applyFont="1" applyBorder="1" applyAlignment="1">
      <alignment/>
    </xf>
    <xf numFmtId="194" fontId="18" fillId="0" borderId="5" xfId="15" applyFont="1" applyBorder="1" applyAlignment="1">
      <alignment horizontal="center"/>
    </xf>
    <xf numFmtId="194" fontId="18" fillId="0" borderId="39" xfId="15" applyFont="1" applyBorder="1" applyAlignment="1">
      <alignment/>
    </xf>
    <xf numFmtId="194" fontId="15" fillId="0" borderId="39" xfId="15" applyFont="1" applyBorder="1" applyAlignment="1">
      <alignment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194" fontId="18" fillId="0" borderId="21" xfId="15" applyFont="1" applyBorder="1" applyAlignment="1">
      <alignment horizontal="center"/>
    </xf>
    <xf numFmtId="194" fontId="15" fillId="0" borderId="6" xfId="15" applyFont="1" applyBorder="1" applyAlignment="1">
      <alignment/>
    </xf>
    <xf numFmtId="49" fontId="15" fillId="0" borderId="40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15" fillId="0" borderId="20" xfId="0" applyFont="1" applyBorder="1" applyAlignment="1">
      <alignment/>
    </xf>
    <xf numFmtId="194" fontId="15" fillId="0" borderId="7" xfId="15" applyFont="1" applyBorder="1" applyAlignment="1">
      <alignment horizontal="right"/>
    </xf>
    <xf numFmtId="0" fontId="18" fillId="0" borderId="2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8" xfId="0" applyFont="1" applyBorder="1" applyAlignment="1">
      <alignment horizontal="left"/>
    </xf>
    <xf numFmtId="0" fontId="25" fillId="0" borderId="42" xfId="0" applyFont="1" applyBorder="1" applyAlignment="1">
      <alignment horizontal="left"/>
    </xf>
    <xf numFmtId="0" fontId="24" fillId="0" borderId="42" xfId="0" applyFont="1" applyBorder="1" applyAlignment="1">
      <alignment horizontal="center"/>
    </xf>
    <xf numFmtId="194" fontId="24" fillId="0" borderId="42" xfId="15" applyFont="1" applyBorder="1" applyAlignment="1">
      <alignment horizontal="center"/>
    </xf>
    <xf numFmtId="0" fontId="19" fillId="0" borderId="29" xfId="0" applyFont="1" applyBorder="1" applyAlignment="1">
      <alignment horizontal="left"/>
    </xf>
    <xf numFmtId="0" fontId="19" fillId="0" borderId="29" xfId="0" applyFont="1" applyBorder="1" applyAlignment="1">
      <alignment horizontal="center"/>
    </xf>
    <xf numFmtId="39" fontId="15" fillId="0" borderId="21" xfId="15" applyNumberFormat="1" applyFont="1" applyBorder="1" applyAlignment="1">
      <alignment/>
    </xf>
    <xf numFmtId="43" fontId="18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left"/>
    </xf>
    <xf numFmtId="43" fontId="15" fillId="0" borderId="43" xfId="15" applyNumberFormat="1" applyFont="1" applyBorder="1" applyAlignment="1">
      <alignment/>
    </xf>
    <xf numFmtId="43" fontId="15" fillId="0" borderId="0" xfId="15" applyNumberFormat="1" applyFont="1" applyBorder="1" applyAlignment="1">
      <alignment/>
    </xf>
    <xf numFmtId="0" fontId="1" fillId="0" borderId="5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1" xfId="0" applyFont="1" applyBorder="1" applyAlignment="1">
      <alignment horizontal="left" vertical="center"/>
    </xf>
    <xf numFmtId="49" fontId="15" fillId="0" borderId="21" xfId="0" applyNumberFormat="1" applyFont="1" applyBorder="1" applyAlignment="1">
      <alignment horizontal="center" vertical="center"/>
    </xf>
    <xf numFmtId="192" fontId="15" fillId="0" borderId="44" xfId="0" applyNumberFormat="1" applyFont="1" applyBorder="1" applyAlignment="1">
      <alignment horizontal="right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3" fontId="15" fillId="0" borderId="48" xfId="0" applyNumberFormat="1" applyFont="1" applyBorder="1" applyAlignment="1">
      <alignment/>
    </xf>
    <xf numFmtId="214" fontId="15" fillId="0" borderId="49" xfId="0" applyNumberFormat="1" applyFont="1" applyBorder="1" applyAlignment="1">
      <alignment horizontal="center"/>
    </xf>
    <xf numFmtId="3" fontId="15" fillId="0" borderId="48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3" fontId="15" fillId="0" borderId="48" xfId="0" applyNumberFormat="1" applyFont="1" applyBorder="1" applyAlignment="1">
      <alignment horizontal="right"/>
    </xf>
    <xf numFmtId="214" fontId="15" fillId="0" borderId="50" xfId="0" applyNumberFormat="1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214" fontId="15" fillId="0" borderId="51" xfId="0" applyNumberFormat="1" applyFont="1" applyBorder="1" applyAlignment="1">
      <alignment horizontal="center"/>
    </xf>
    <xf numFmtId="192" fontId="15" fillId="0" borderId="48" xfId="0" applyNumberFormat="1" applyFont="1" applyBorder="1" applyAlignment="1">
      <alignment horizontal="right"/>
    </xf>
    <xf numFmtId="3" fontId="15" fillId="0" borderId="52" xfId="0" applyNumberFormat="1" applyFont="1" applyBorder="1" applyAlignment="1">
      <alignment/>
    </xf>
    <xf numFmtId="214" fontId="15" fillId="0" borderId="43" xfId="0" applyNumberFormat="1" applyFont="1" applyBorder="1" applyAlignment="1">
      <alignment horizontal="center"/>
    </xf>
    <xf numFmtId="214" fontId="15" fillId="0" borderId="53" xfId="0" applyNumberFormat="1" applyFont="1" applyBorder="1" applyAlignment="1">
      <alignment horizontal="center"/>
    </xf>
    <xf numFmtId="214" fontId="15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49" fontId="13" fillId="0" borderId="17" xfId="0" applyNumberFormat="1" applyFont="1" applyFill="1" applyBorder="1" applyAlignment="1">
      <alignment horizontal="center"/>
    </xf>
    <xf numFmtId="194" fontId="14" fillId="0" borderId="7" xfId="0" applyNumberFormat="1" applyFont="1" applyBorder="1" applyAlignment="1">
      <alignment/>
    </xf>
    <xf numFmtId="194" fontId="14" fillId="0" borderId="10" xfId="0" applyNumberFormat="1" applyFont="1" applyBorder="1" applyAlignment="1">
      <alignment/>
    </xf>
    <xf numFmtId="49" fontId="13" fillId="0" borderId="32" xfId="0" applyNumberFormat="1" applyFont="1" applyBorder="1" applyAlignment="1">
      <alignment horizontal="center"/>
    </xf>
    <xf numFmtId="49" fontId="13" fillId="0" borderId="32" xfId="0" applyNumberFormat="1" applyFont="1" applyBorder="1" applyAlignment="1">
      <alignment horizontal="center"/>
    </xf>
    <xf numFmtId="0" fontId="17" fillId="0" borderId="0" xfId="0" applyFont="1" applyAlignment="1">
      <alignment/>
    </xf>
    <xf numFmtId="194" fontId="14" fillId="0" borderId="0" xfId="0" applyNumberFormat="1" applyFont="1" applyBorder="1" applyAlignment="1">
      <alignment/>
    </xf>
    <xf numFmtId="194" fontId="14" fillId="0" borderId="25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194" fontId="15" fillId="0" borderId="20" xfId="15" applyFont="1" applyBorder="1" applyAlignment="1">
      <alignment/>
    </xf>
    <xf numFmtId="194" fontId="15" fillId="0" borderId="21" xfId="15" applyFont="1" applyBorder="1" applyAlignment="1">
      <alignment/>
    </xf>
    <xf numFmtId="194" fontId="15" fillId="0" borderId="27" xfId="15" applyFont="1" applyBorder="1" applyAlignment="1">
      <alignment/>
    </xf>
    <xf numFmtId="194" fontId="19" fillId="0" borderId="21" xfId="15" applyFont="1" applyBorder="1" applyAlignment="1">
      <alignment/>
    </xf>
    <xf numFmtId="194" fontId="19" fillId="0" borderId="26" xfId="15" applyFont="1" applyBorder="1" applyAlignment="1">
      <alignment/>
    </xf>
    <xf numFmtId="194" fontId="19" fillId="0" borderId="7" xfId="15" applyFont="1" applyBorder="1" applyAlignment="1">
      <alignment/>
    </xf>
    <xf numFmtId="194" fontId="24" fillId="0" borderId="21" xfId="15" applyFont="1" applyBorder="1" applyAlignment="1">
      <alignment/>
    </xf>
    <xf numFmtId="194" fontId="24" fillId="0" borderId="26" xfId="15" applyFont="1" applyBorder="1" applyAlignment="1">
      <alignment/>
    </xf>
    <xf numFmtId="194" fontId="24" fillId="0" borderId="6" xfId="15" applyFont="1" applyBorder="1" applyAlignment="1">
      <alignment/>
    </xf>
    <xf numFmtId="194" fontId="24" fillId="0" borderId="29" xfId="15" applyFont="1" applyBorder="1" applyAlignment="1">
      <alignment/>
    </xf>
    <xf numFmtId="194" fontId="24" fillId="0" borderId="28" xfId="15" applyFont="1" applyBorder="1" applyAlignment="1">
      <alignment/>
    </xf>
    <xf numFmtId="194" fontId="24" fillId="0" borderId="42" xfId="15" applyFont="1" applyBorder="1" applyAlignment="1">
      <alignment/>
    </xf>
    <xf numFmtId="194" fontId="19" fillId="0" borderId="0" xfId="15" applyFont="1" applyAlignment="1">
      <alignment/>
    </xf>
    <xf numFmtId="194" fontId="19" fillId="0" borderId="27" xfId="15" applyFont="1" applyBorder="1" applyAlignment="1">
      <alignment/>
    </xf>
    <xf numFmtId="194" fontId="19" fillId="0" borderId="0" xfId="15" applyFont="1" applyBorder="1" applyAlignment="1">
      <alignment/>
    </xf>
    <xf numFmtId="194" fontId="24" fillId="0" borderId="20" xfId="15" applyFont="1" applyBorder="1" applyAlignment="1">
      <alignment/>
    </xf>
    <xf numFmtId="194" fontId="24" fillId="0" borderId="0" xfId="15" applyFont="1" applyAlignment="1">
      <alignment/>
    </xf>
    <xf numFmtId="0" fontId="2" fillId="0" borderId="0" xfId="0" applyFont="1" applyAlignment="1">
      <alignment horizontal="center"/>
    </xf>
    <xf numFmtId="0" fontId="19" fillId="0" borderId="0" xfId="0" applyFont="1" applyBorder="1" applyAlignment="1">
      <alignment horizontal="left"/>
    </xf>
    <xf numFmtId="194" fontId="24" fillId="0" borderId="25" xfId="15" applyFont="1" applyBorder="1" applyAlignment="1">
      <alignment horizontal="center"/>
    </xf>
    <xf numFmtId="194" fontId="24" fillId="0" borderId="25" xfId="15" applyFont="1" applyBorder="1" applyAlignment="1">
      <alignment/>
    </xf>
    <xf numFmtId="0" fontId="19" fillId="0" borderId="31" xfId="0" applyFont="1" applyBorder="1" applyAlignment="1">
      <alignment horizontal="center"/>
    </xf>
    <xf numFmtId="0" fontId="19" fillId="0" borderId="31" xfId="0" applyFont="1" applyBorder="1" applyAlignment="1">
      <alignment horizontal="left"/>
    </xf>
    <xf numFmtId="194" fontId="18" fillId="0" borderId="6" xfId="15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5" fillId="0" borderId="54" xfId="0" applyFont="1" applyBorder="1" applyAlignment="1">
      <alignment/>
    </xf>
    <xf numFmtId="194" fontId="15" fillId="0" borderId="54" xfId="15" applyFont="1" applyBorder="1" applyAlignment="1">
      <alignment/>
    </xf>
    <xf numFmtId="194" fontId="18" fillId="0" borderId="6" xfId="15" applyFont="1" applyBorder="1" applyAlignment="1">
      <alignment/>
    </xf>
    <xf numFmtId="4" fontId="2" fillId="0" borderId="0" xfId="0" applyNumberFormat="1" applyFont="1" applyAlignment="1">
      <alignment/>
    </xf>
    <xf numFmtId="194" fontId="2" fillId="0" borderId="0" xfId="15" applyFont="1" applyAlignment="1">
      <alignment/>
    </xf>
    <xf numFmtId="194" fontId="2" fillId="0" borderId="0" xfId="15" applyFont="1" applyAlignment="1">
      <alignment horizontal="right"/>
    </xf>
    <xf numFmtId="0" fontId="19" fillId="0" borderId="4" xfId="0" applyFont="1" applyBorder="1" applyAlignment="1">
      <alignment horizontal="center"/>
    </xf>
    <xf numFmtId="194" fontId="24" fillId="0" borderId="0" xfId="15" applyFont="1" applyBorder="1" applyAlignment="1">
      <alignment horizontal="center"/>
    </xf>
    <xf numFmtId="194" fontId="24" fillId="0" borderId="0" xfId="15" applyFont="1" applyBorder="1" applyAlignment="1">
      <alignment/>
    </xf>
    <xf numFmtId="0" fontId="5" fillId="0" borderId="0" xfId="0" applyFont="1" applyAlignment="1">
      <alignment horizontal="left"/>
    </xf>
    <xf numFmtId="194" fontId="2" fillId="0" borderId="4" xfId="15" applyFont="1" applyBorder="1" applyAlignment="1">
      <alignment horizontal="right"/>
    </xf>
    <xf numFmtId="194" fontId="2" fillId="0" borderId="0" xfId="15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94" fontId="2" fillId="0" borderId="5" xfId="15" applyFont="1" applyBorder="1" applyAlignment="1">
      <alignment horizontal="right"/>
    </xf>
    <xf numFmtId="194" fontId="2" fillId="0" borderId="2" xfId="15" applyFont="1" applyBorder="1" applyAlignment="1">
      <alignment horizontal="right"/>
    </xf>
    <xf numFmtId="4" fontId="0" fillId="0" borderId="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94" fontId="2" fillId="0" borderId="34" xfId="15" applyFont="1" applyBorder="1" applyAlignment="1">
      <alignment horizontal="right"/>
    </xf>
    <xf numFmtId="194" fontId="2" fillId="0" borderId="25" xfId="15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18" fillId="0" borderId="3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49" fontId="24" fillId="0" borderId="2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94" fontId="15" fillId="0" borderId="0" xfId="15" applyFont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49" fontId="18" fillId="0" borderId="2" xfId="0" applyNumberFormat="1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21" fillId="0" borderId="4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194" fontId="2" fillId="0" borderId="4" xfId="15" applyFont="1" applyBorder="1" applyAlignment="1">
      <alignment horizontal="right"/>
    </xf>
    <xf numFmtId="194" fontId="2" fillId="0" borderId="0" xfId="15" applyFont="1" applyBorder="1" applyAlignment="1">
      <alignment horizontal="right"/>
    </xf>
    <xf numFmtId="194" fontId="2" fillId="0" borderId="4" xfId="15" applyFont="1" applyBorder="1" applyAlignment="1">
      <alignment horizontal="center"/>
    </xf>
    <xf numFmtId="194" fontId="2" fillId="0" borderId="0" xfId="15" applyFont="1" applyBorder="1" applyAlignment="1">
      <alignment horizontal="center"/>
    </xf>
    <xf numFmtId="0" fontId="15" fillId="0" borderId="0" xfId="0" applyFont="1" applyAlignment="1">
      <alignment horizontal="left"/>
    </xf>
    <xf numFmtId="0" fontId="18" fillId="0" borderId="2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49" fontId="18" fillId="0" borderId="7" xfId="0" applyNumberFormat="1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94" fontId="18" fillId="0" borderId="6" xfId="15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194" fontId="18" fillId="0" borderId="6" xfId="15" applyFont="1" applyBorder="1" applyAlignment="1">
      <alignment horizontal="center"/>
    </xf>
    <xf numFmtId="0" fontId="18" fillId="0" borderId="6" xfId="0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/>
    </xf>
    <xf numFmtId="49" fontId="13" fillId="0" borderId="33" xfId="0" applyNumberFormat="1" applyFont="1" applyBorder="1" applyAlignment="1">
      <alignment horizontal="center"/>
    </xf>
    <xf numFmtId="194" fontId="13" fillId="0" borderId="0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194" fontId="13" fillId="0" borderId="25" xfId="0" applyNumberFormat="1" applyFont="1" applyBorder="1" applyAlignment="1">
      <alignment horizontal="center"/>
    </xf>
    <xf numFmtId="49" fontId="13" fillId="0" borderId="32" xfId="0" applyNumberFormat="1" applyFont="1" applyBorder="1" applyAlignment="1">
      <alignment horizontal="center"/>
    </xf>
    <xf numFmtId="49" fontId="13" fillId="0" borderId="33" xfId="0" applyNumberFormat="1" applyFont="1" applyBorder="1" applyAlignment="1">
      <alignment horizontal="center"/>
    </xf>
    <xf numFmtId="49" fontId="13" fillId="0" borderId="57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194" fontId="13" fillId="0" borderId="0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194" fontId="19" fillId="0" borderId="25" xfId="0" applyNumberFormat="1" applyFont="1" applyBorder="1" applyAlignment="1">
      <alignment horizontal="center"/>
    </xf>
    <xf numFmtId="194" fontId="19" fillId="0" borderId="0" xfId="0" applyNumberFormat="1" applyFont="1" applyBorder="1" applyAlignment="1">
      <alignment horizontal="center"/>
    </xf>
    <xf numFmtId="49" fontId="19" fillId="0" borderId="32" xfId="0" applyNumberFormat="1" applyFont="1" applyBorder="1" applyAlignment="1">
      <alignment horizontal="center"/>
    </xf>
    <xf numFmtId="49" fontId="19" fillId="0" borderId="33" xfId="0" applyNumberFormat="1" applyFont="1" applyBorder="1" applyAlignment="1">
      <alignment horizontal="center"/>
    </xf>
    <xf numFmtId="49" fontId="19" fillId="0" borderId="57" xfId="0" applyNumberFormat="1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94" fontId="0" fillId="0" borderId="0" xfId="0" applyNumberFormat="1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57" xfId="0" applyNumberFormat="1" applyFont="1" applyBorder="1" applyAlignment="1">
      <alignment horizontal="center"/>
    </xf>
    <xf numFmtId="194" fontId="0" fillId="0" borderId="25" xfId="0" applyNumberFormat="1" applyFont="1" applyBorder="1" applyAlignment="1">
      <alignment horizontal="center"/>
    </xf>
    <xf numFmtId="194" fontId="0" fillId="0" borderId="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194" fontId="0" fillId="0" borderId="25" xfId="0" applyNumberFormat="1" applyFont="1" applyBorder="1" applyAlignment="1">
      <alignment horizontal="center"/>
    </xf>
    <xf numFmtId="49" fontId="4" fillId="0" borderId="57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SheetLayoutView="100" workbookViewId="0" topLeftCell="A58">
      <selection activeCell="D72" sqref="D72:F72"/>
    </sheetView>
  </sheetViews>
  <sheetFormatPr defaultColWidth="9.140625" defaultRowHeight="21.75"/>
  <cols>
    <col min="1" max="2" width="17.7109375" style="172" customWidth="1"/>
    <col min="3" max="3" width="4.421875" style="93" customWidth="1"/>
    <col min="4" max="4" width="26.57421875" style="93" customWidth="1"/>
    <col min="5" max="5" width="13.421875" style="102" customWidth="1"/>
    <col min="6" max="6" width="8.7109375" style="105" customWidth="1"/>
    <col min="7" max="7" width="17.7109375" style="172" customWidth="1"/>
    <col min="8" max="8" width="9.140625" style="93" customWidth="1"/>
    <col min="9" max="9" width="13.8515625" style="172" bestFit="1" customWidth="1"/>
    <col min="10" max="10" width="13.57421875" style="172" bestFit="1" customWidth="1"/>
    <col min="11" max="12" width="12.7109375" style="172" bestFit="1" customWidth="1"/>
    <col min="13" max="13" width="13.421875" style="172" customWidth="1"/>
    <col min="14" max="14" width="12.7109375" style="93" bestFit="1" customWidth="1"/>
    <col min="15" max="16384" width="9.140625" style="93" customWidth="1"/>
  </cols>
  <sheetData>
    <row r="1" spans="1:13" s="113" customFormat="1" ht="29.25">
      <c r="A1" s="508" t="s">
        <v>0</v>
      </c>
      <c r="B1" s="508"/>
      <c r="C1" s="508"/>
      <c r="D1" s="508"/>
      <c r="E1" s="508"/>
      <c r="F1" s="508"/>
      <c r="G1" s="508"/>
      <c r="I1" s="206"/>
      <c r="J1" s="206"/>
      <c r="K1" s="206"/>
      <c r="L1" s="206"/>
      <c r="M1" s="206"/>
    </row>
    <row r="2" spans="1:13" s="113" customFormat="1" ht="29.25">
      <c r="A2" s="508" t="s">
        <v>256</v>
      </c>
      <c r="B2" s="508"/>
      <c r="C2" s="508"/>
      <c r="D2" s="508"/>
      <c r="E2" s="508"/>
      <c r="F2" s="508"/>
      <c r="G2" s="508"/>
      <c r="I2" s="206"/>
      <c r="J2" s="206"/>
      <c r="K2" s="206"/>
      <c r="L2" s="206"/>
      <c r="M2" s="206"/>
    </row>
    <row r="3" spans="1:13" s="113" customFormat="1" ht="29.25">
      <c r="A3" s="362"/>
      <c r="B3" s="362"/>
      <c r="C3" s="114"/>
      <c r="D3" s="114"/>
      <c r="E3" s="407"/>
      <c r="F3" s="115" t="s">
        <v>255</v>
      </c>
      <c r="G3" s="206"/>
      <c r="I3" s="206"/>
      <c r="J3" s="206"/>
      <c r="K3" s="206"/>
      <c r="L3" s="206"/>
      <c r="M3" s="206"/>
    </row>
    <row r="4" spans="1:7" ht="31.5">
      <c r="A4" s="509" t="s">
        <v>21</v>
      </c>
      <c r="B4" s="509"/>
      <c r="C4" s="509"/>
      <c r="D4" s="509"/>
      <c r="E4" s="509"/>
      <c r="F4" s="509"/>
      <c r="G4" s="509"/>
    </row>
    <row r="5" spans="1:13" s="113" customFormat="1" ht="30" thickBot="1">
      <c r="A5" s="363"/>
      <c r="B5" s="363"/>
      <c r="C5" s="116"/>
      <c r="D5" s="506" t="s">
        <v>335</v>
      </c>
      <c r="E5" s="506"/>
      <c r="F5" s="506"/>
      <c r="G5" s="506"/>
      <c r="I5" s="206"/>
      <c r="J5" s="206"/>
      <c r="K5" s="206"/>
      <c r="L5" s="206"/>
      <c r="M5" s="206"/>
    </row>
    <row r="6" spans="1:7" ht="24" thickTop="1">
      <c r="A6" s="510" t="s">
        <v>22</v>
      </c>
      <c r="B6" s="511"/>
      <c r="C6" s="512"/>
      <c r="D6" s="513"/>
      <c r="E6" s="395"/>
      <c r="F6" s="107"/>
      <c r="G6" s="376" t="s">
        <v>23</v>
      </c>
    </row>
    <row r="7" spans="1:7" ht="23.25">
      <c r="A7" s="380" t="s">
        <v>24</v>
      </c>
      <c r="B7" s="360" t="s">
        <v>25</v>
      </c>
      <c r="C7" s="500" t="s">
        <v>26</v>
      </c>
      <c r="D7" s="501"/>
      <c r="E7" s="95"/>
      <c r="F7" s="96" t="s">
        <v>27</v>
      </c>
      <c r="G7" s="377" t="s">
        <v>25</v>
      </c>
    </row>
    <row r="8" spans="1:7" ht="24" thickBot="1">
      <c r="A8" s="381" t="s">
        <v>28</v>
      </c>
      <c r="B8" s="361" t="s">
        <v>28</v>
      </c>
      <c r="C8" s="514"/>
      <c r="D8" s="515"/>
      <c r="E8" s="396"/>
      <c r="F8" s="108" t="s">
        <v>29</v>
      </c>
      <c r="G8" s="378" t="s">
        <v>28</v>
      </c>
    </row>
    <row r="9" spans="1:7" ht="24" thickTop="1">
      <c r="A9" s="364"/>
      <c r="B9" s="373">
        <v>7074474.62</v>
      </c>
      <c r="C9" s="371" t="s">
        <v>30</v>
      </c>
      <c r="D9" s="371"/>
      <c r="E9" s="109"/>
      <c r="F9" s="107"/>
      <c r="G9" s="243">
        <v>12691115.02</v>
      </c>
    </row>
    <row r="10" spans="1:7" ht="23.25">
      <c r="A10" s="365"/>
      <c r="B10" s="243"/>
      <c r="C10" s="372" t="s">
        <v>320</v>
      </c>
      <c r="D10" s="372"/>
      <c r="E10" s="110"/>
      <c r="F10" s="96"/>
      <c r="G10" s="243"/>
    </row>
    <row r="11" spans="1:7" ht="21" customHeight="1">
      <c r="A11" s="365">
        <v>110500</v>
      </c>
      <c r="B11" s="243">
        <f>831.44+4703.03+385.1+5470.87+17582.56+52330.29+9493.28+6395.54+3667.86</f>
        <v>100859.97</v>
      </c>
      <c r="D11" s="102" t="s">
        <v>31</v>
      </c>
      <c r="E11" s="100"/>
      <c r="F11" s="96" t="s">
        <v>170</v>
      </c>
      <c r="G11" s="374">
        <v>3667.86</v>
      </c>
    </row>
    <row r="12" spans="1:7" ht="23.25">
      <c r="A12" s="366">
        <v>95500</v>
      </c>
      <c r="B12" s="374">
        <f>4740+1940+3040+2100+5830+5160+2123.93+2420+5325</f>
        <v>32678.93</v>
      </c>
      <c r="D12" s="102" t="s">
        <v>32</v>
      </c>
      <c r="E12" s="100"/>
      <c r="F12" s="96" t="s">
        <v>171</v>
      </c>
      <c r="G12" s="374">
        <v>5325</v>
      </c>
    </row>
    <row r="13" spans="1:7" ht="23.25">
      <c r="A13" s="366">
        <v>32000</v>
      </c>
      <c r="B13" s="374">
        <v>9564.48</v>
      </c>
      <c r="D13" s="102" t="s">
        <v>33</v>
      </c>
      <c r="E13" s="100"/>
      <c r="F13" s="96" t="s">
        <v>172</v>
      </c>
      <c r="G13" s="374">
        <v>0</v>
      </c>
    </row>
    <row r="14" spans="1:7" ht="23.25">
      <c r="A14" s="366">
        <v>200000</v>
      </c>
      <c r="B14" s="374">
        <f>22176+348+15144+29844+23728+200+3376+59354</f>
        <v>154170</v>
      </c>
      <c r="D14" s="102" t="s">
        <v>34</v>
      </c>
      <c r="E14" s="100"/>
      <c r="F14" s="96" t="s">
        <v>173</v>
      </c>
      <c r="G14" s="374">
        <v>59354</v>
      </c>
    </row>
    <row r="15" spans="1:7" ht="23.25">
      <c r="A15" s="366">
        <v>90000</v>
      </c>
      <c r="B15" s="374">
        <v>3523</v>
      </c>
      <c r="D15" s="102" t="s">
        <v>35</v>
      </c>
      <c r="E15" s="100"/>
      <c r="F15" s="96" t="s">
        <v>174</v>
      </c>
      <c r="G15" s="375">
        <v>0</v>
      </c>
    </row>
    <row r="16" spans="1:7" ht="23.25">
      <c r="A16" s="367">
        <v>1500</v>
      </c>
      <c r="B16" s="375">
        <v>0</v>
      </c>
      <c r="D16" s="102" t="s">
        <v>36</v>
      </c>
      <c r="E16" s="100"/>
      <c r="F16" s="96" t="s">
        <v>175</v>
      </c>
      <c r="G16" s="375">
        <v>0</v>
      </c>
    </row>
    <row r="17" spans="1:7" ht="23.25">
      <c r="A17" s="367">
        <v>9442000</v>
      </c>
      <c r="B17" s="375">
        <f>416301.27+189004.94+1394983.81+439806.6+1237004.6+427749.17+973117.99+905046.64+472390.82</f>
        <v>6455405.84</v>
      </c>
      <c r="D17" s="102" t="s">
        <v>37</v>
      </c>
      <c r="E17" s="100"/>
      <c r="F17" s="96" t="s">
        <v>176</v>
      </c>
      <c r="G17" s="375">
        <v>472390.82</v>
      </c>
    </row>
    <row r="18" spans="1:7" ht="23.25">
      <c r="A18" s="366">
        <v>8071150</v>
      </c>
      <c r="B18" s="374">
        <f>3225116+3225116</f>
        <v>6450232</v>
      </c>
      <c r="D18" s="102" t="s">
        <v>132</v>
      </c>
      <c r="E18" s="100"/>
      <c r="F18" s="96" t="s">
        <v>177</v>
      </c>
      <c r="G18" s="379">
        <v>0</v>
      </c>
    </row>
    <row r="19" spans="1:7" ht="24" thickBot="1">
      <c r="A19" s="239">
        <f>SUM(A11:A18)</f>
        <v>18042650</v>
      </c>
      <c r="B19" s="239">
        <f>SUM(B11:B18)</f>
        <v>13206434.219999999</v>
      </c>
      <c r="F19" s="96"/>
      <c r="G19" s="239">
        <f>SUM(G11:G18)</f>
        <v>540737.68</v>
      </c>
    </row>
    <row r="20" spans="1:7" ht="24" thickTop="1">
      <c r="A20" s="368"/>
      <c r="B20" s="374">
        <f>2724000+30000+315168+78792+78792+1977000+339836+87402</f>
        <v>5630990</v>
      </c>
      <c r="D20" s="102" t="s">
        <v>324</v>
      </c>
      <c r="E20" s="100"/>
      <c r="F20" s="96" t="s">
        <v>178</v>
      </c>
      <c r="G20" s="374">
        <v>87402</v>
      </c>
    </row>
    <row r="21" spans="1:7" ht="23.25">
      <c r="A21" s="368"/>
      <c r="B21" s="243">
        <f>7858.05+8859.28+14647.76+2255.18+27347.83+84474.92+2668.13+76063.13+24612.52</f>
        <v>248786.80000000002</v>
      </c>
      <c r="D21" s="102" t="s">
        <v>268</v>
      </c>
      <c r="E21" s="100"/>
      <c r="F21" s="96" t="s">
        <v>164</v>
      </c>
      <c r="G21" s="374">
        <v>24612.52</v>
      </c>
    </row>
    <row r="22" spans="1:7" ht="23.25">
      <c r="A22" s="368"/>
      <c r="B22" s="374">
        <f>15300+26897+185348+51346+50+280+10910</f>
        <v>290131</v>
      </c>
      <c r="D22" s="102" t="s">
        <v>40</v>
      </c>
      <c r="E22" s="100"/>
      <c r="F22" s="96" t="s">
        <v>183</v>
      </c>
      <c r="G22" s="374">
        <v>0</v>
      </c>
    </row>
    <row r="23" spans="1:7" ht="23.25">
      <c r="A23" s="368"/>
      <c r="B23" s="374">
        <f>33000+208720</f>
        <v>241720</v>
      </c>
      <c r="D23" s="102" t="s">
        <v>252</v>
      </c>
      <c r="E23" s="100"/>
      <c r="F23" s="96" t="s">
        <v>251</v>
      </c>
      <c r="G23" s="374">
        <v>0</v>
      </c>
    </row>
    <row r="24" spans="1:7" ht="23.25">
      <c r="A24" s="368"/>
      <c r="B24" s="374">
        <f>1358500+444500+1000+2000</f>
        <v>1806000</v>
      </c>
      <c r="D24" s="102" t="s">
        <v>130</v>
      </c>
      <c r="E24" s="100"/>
      <c r="F24" s="96" t="s">
        <v>213</v>
      </c>
      <c r="G24" s="374">
        <v>0</v>
      </c>
    </row>
    <row r="25" spans="1:7" ht="23.25">
      <c r="A25" s="368"/>
      <c r="B25" s="374">
        <v>0</v>
      </c>
      <c r="D25" s="102" t="s">
        <v>327</v>
      </c>
      <c r="E25" s="100"/>
      <c r="F25" s="96" t="s">
        <v>139</v>
      </c>
      <c r="G25" s="374">
        <v>0</v>
      </c>
    </row>
    <row r="26" spans="1:7" ht="23.25">
      <c r="A26" s="368"/>
      <c r="B26" s="374">
        <v>0</v>
      </c>
      <c r="D26" s="102" t="s">
        <v>109</v>
      </c>
      <c r="E26" s="100"/>
      <c r="F26" s="96" t="s">
        <v>185</v>
      </c>
      <c r="G26" s="374">
        <v>0</v>
      </c>
    </row>
    <row r="27" spans="1:7" ht="23.25">
      <c r="A27" s="368"/>
      <c r="B27" s="374">
        <v>13600</v>
      </c>
      <c r="D27" s="102" t="s">
        <v>46</v>
      </c>
      <c r="E27" s="100"/>
      <c r="F27" s="96" t="s">
        <v>157</v>
      </c>
      <c r="G27" s="374">
        <v>0</v>
      </c>
    </row>
    <row r="28" spans="1:7" ht="23.25">
      <c r="A28" s="368"/>
      <c r="B28" s="374">
        <f>16960+10532</f>
        <v>27492</v>
      </c>
      <c r="D28" s="102" t="s">
        <v>208</v>
      </c>
      <c r="E28" s="100"/>
      <c r="F28" s="96" t="s">
        <v>210</v>
      </c>
      <c r="G28" s="374">
        <v>10532</v>
      </c>
    </row>
    <row r="29" spans="1:7" ht="23.25">
      <c r="A29" s="368"/>
      <c r="B29" s="374">
        <v>0</v>
      </c>
      <c r="D29" s="102" t="s">
        <v>326</v>
      </c>
      <c r="E29" s="100"/>
      <c r="F29" s="96" t="s">
        <v>138</v>
      </c>
      <c r="G29" s="374">
        <v>0</v>
      </c>
    </row>
    <row r="30" spans="1:7" ht="23.25">
      <c r="A30" s="368"/>
      <c r="B30" s="374">
        <f>3000+4801.3</f>
        <v>7801.3</v>
      </c>
      <c r="D30" s="102" t="s">
        <v>41</v>
      </c>
      <c r="E30" s="100"/>
      <c r="F30" s="96" t="s">
        <v>161</v>
      </c>
      <c r="G30" s="374">
        <v>0</v>
      </c>
    </row>
    <row r="31" spans="1:7" ht="23.25">
      <c r="A31" s="368"/>
      <c r="B31" s="374">
        <v>0</v>
      </c>
      <c r="D31" s="102" t="s">
        <v>118</v>
      </c>
      <c r="F31" s="96" t="s">
        <v>184</v>
      </c>
      <c r="G31" s="374">
        <v>0</v>
      </c>
    </row>
    <row r="32" spans="1:9" ht="24" thickBot="1">
      <c r="A32" s="368"/>
      <c r="B32" s="239">
        <f>SUM(B20:B31)</f>
        <v>8266521.1</v>
      </c>
      <c r="F32" s="390"/>
      <c r="G32" s="239">
        <f>SUM(G20:G31)</f>
        <v>122546.52</v>
      </c>
      <c r="I32" s="382"/>
    </row>
    <row r="33" spans="1:10" ht="24.75" thickBot="1" thickTop="1">
      <c r="A33" s="368"/>
      <c r="B33" s="239">
        <f>B19+B32</f>
        <v>21472955.32</v>
      </c>
      <c r="C33" s="501" t="s">
        <v>42</v>
      </c>
      <c r="D33" s="501"/>
      <c r="E33" s="95"/>
      <c r="F33" s="391"/>
      <c r="G33" s="239">
        <f>G19+G32</f>
        <v>663284.2000000001</v>
      </c>
      <c r="I33" s="382"/>
      <c r="J33" s="406"/>
    </row>
    <row r="34" spans="1:10" ht="24" thickTop="1">
      <c r="A34" s="368"/>
      <c r="B34" s="123"/>
      <c r="C34" s="95"/>
      <c r="D34" s="95"/>
      <c r="E34" s="95"/>
      <c r="F34" s="104"/>
      <c r="G34" s="123"/>
      <c r="I34" s="382"/>
      <c r="J34" s="406"/>
    </row>
    <row r="35" spans="1:10" ht="23.25">
      <c r="A35" s="368"/>
      <c r="B35" s="123"/>
      <c r="C35" s="95"/>
      <c r="D35" s="95"/>
      <c r="E35" s="95"/>
      <c r="F35" s="104"/>
      <c r="G35" s="123"/>
      <c r="I35" s="382"/>
      <c r="J35" s="406"/>
    </row>
    <row r="36" spans="1:7" ht="23.25">
      <c r="A36" s="503" t="s">
        <v>72</v>
      </c>
      <c r="B36" s="503"/>
      <c r="C36" s="503"/>
      <c r="D36" s="503"/>
      <c r="E36" s="503"/>
      <c r="F36" s="503"/>
      <c r="G36" s="503"/>
    </row>
    <row r="37" spans="1:7" ht="23.25">
      <c r="A37" s="516" t="s">
        <v>22</v>
      </c>
      <c r="B37" s="517"/>
      <c r="C37" s="491"/>
      <c r="D37" s="492"/>
      <c r="E37" s="397"/>
      <c r="F37" s="94"/>
      <c r="G37" s="386" t="s">
        <v>23</v>
      </c>
    </row>
    <row r="38" spans="1:7" ht="23.25">
      <c r="A38" s="380" t="s">
        <v>24</v>
      </c>
      <c r="B38" s="360" t="s">
        <v>25</v>
      </c>
      <c r="C38" s="500" t="s">
        <v>26</v>
      </c>
      <c r="D38" s="501"/>
      <c r="E38" s="95"/>
      <c r="F38" s="96" t="s">
        <v>27</v>
      </c>
      <c r="G38" s="377" t="s">
        <v>25</v>
      </c>
    </row>
    <row r="39" spans="1:14" ht="21" customHeight="1">
      <c r="A39" s="383" t="s">
        <v>28</v>
      </c>
      <c r="B39" s="359" t="s">
        <v>28</v>
      </c>
      <c r="C39" s="504"/>
      <c r="D39" s="505"/>
      <c r="E39" s="394"/>
      <c r="F39" s="97" t="s">
        <v>29</v>
      </c>
      <c r="G39" s="387" t="s">
        <v>28</v>
      </c>
      <c r="J39" s="207"/>
      <c r="K39" s="207"/>
      <c r="M39" s="207"/>
      <c r="N39" s="207"/>
    </row>
    <row r="40" spans="1:14" ht="23.25">
      <c r="A40" s="384"/>
      <c r="B40" s="369"/>
      <c r="C40" s="99" t="s">
        <v>43</v>
      </c>
      <c r="D40" s="102"/>
      <c r="E40" s="100"/>
      <c r="F40" s="96"/>
      <c r="G40" s="388"/>
      <c r="I40" s="207"/>
      <c r="J40" s="207"/>
      <c r="K40" s="207"/>
      <c r="L40" s="207"/>
      <c r="M40" s="207"/>
      <c r="N40" s="207"/>
    </row>
    <row r="41" spans="1:14" ht="22.5" customHeight="1">
      <c r="A41" s="385">
        <f>926724+1611000+300000-300000-3000-150000-10000-24000</f>
        <v>2350724</v>
      </c>
      <c r="B41" s="366">
        <f>615639+47448+386918.37+14000+32572+25449</f>
        <v>1122026.37</v>
      </c>
      <c r="C41" s="99"/>
      <c r="D41" s="102" t="s">
        <v>44</v>
      </c>
      <c r="E41" s="100"/>
      <c r="F41" s="96" t="s">
        <v>179</v>
      </c>
      <c r="G41" s="374">
        <v>25449</v>
      </c>
      <c r="N41" s="172"/>
    </row>
    <row r="42" spans="1:14" ht="22.5" customHeight="1">
      <c r="A42" s="385">
        <f>1415400+155400-68000+58290</f>
        <v>1561090</v>
      </c>
      <c r="B42" s="366">
        <f>459650+137600+137600+137600+137600+137600</f>
        <v>1147650</v>
      </c>
      <c r="C42" s="98"/>
      <c r="D42" s="102" t="s">
        <v>207</v>
      </c>
      <c r="E42" s="100"/>
      <c r="F42" s="96" t="s">
        <v>209</v>
      </c>
      <c r="G42" s="374">
        <v>137600</v>
      </c>
      <c r="N42" s="172"/>
    </row>
    <row r="43" spans="1:14" ht="22.5" customHeight="1">
      <c r="A43" s="385">
        <f>1894380+826260+891300-25000-17000+232770-75000-35000-5000-15000-35000-20000+4000+30000-88290+10800-10800+9720</f>
        <v>3573140</v>
      </c>
      <c r="B43" s="366">
        <f>1002912.87+266550+275435+271910+265458+321119</f>
        <v>2403384.87</v>
      </c>
      <c r="C43" s="98"/>
      <c r="D43" s="102" t="s">
        <v>208</v>
      </c>
      <c r="E43" s="100"/>
      <c r="F43" s="96" t="s">
        <v>210</v>
      </c>
      <c r="G43" s="374">
        <v>321119</v>
      </c>
      <c r="N43" s="172"/>
    </row>
    <row r="44" spans="1:14" ht="22.5" customHeight="1">
      <c r="A44" s="385">
        <f>525000+260490+446590+12800+10000+38700-9000+35000+24000-9720</f>
        <v>1333860</v>
      </c>
      <c r="B44" s="366">
        <f>213781+55336+51462+97515+41941+48478</f>
        <v>508513</v>
      </c>
      <c r="C44" s="98"/>
      <c r="D44" s="102" t="s">
        <v>45</v>
      </c>
      <c r="E44" s="100"/>
      <c r="F44" s="96" t="s">
        <v>156</v>
      </c>
      <c r="G44" s="374">
        <v>48478</v>
      </c>
      <c r="N44" s="172"/>
    </row>
    <row r="45" spans="1:14" ht="22.5" customHeight="1">
      <c r="A45" s="385">
        <f>850940+410000+140000+55000-30000+826690+18050-18050-12800+52600-100000-10000-11450-3250+20000-4000+20000-20000</f>
        <v>2183730</v>
      </c>
      <c r="B45" s="366">
        <f>553919.49+31500+135296+112860+65668+363944</f>
        <v>1263187.49</v>
      </c>
      <c r="C45" s="98"/>
      <c r="D45" s="102" t="s">
        <v>46</v>
      </c>
      <c r="E45" s="100"/>
      <c r="F45" s="96" t="s">
        <v>157</v>
      </c>
      <c r="G45" s="374">
        <v>363944</v>
      </c>
      <c r="N45" s="172"/>
    </row>
    <row r="46" spans="1:14" ht="22.5" customHeight="1">
      <c r="A46" s="243">
        <f>541500+80000+240000+17000+1038680+75000+90000+10000</f>
        <v>2092180</v>
      </c>
      <c r="B46" s="366">
        <f>230802+70679+94007+60535+28739+567904.9</f>
        <v>1052666.9</v>
      </c>
      <c r="C46" s="98"/>
      <c r="D46" s="102" t="s">
        <v>47</v>
      </c>
      <c r="E46" s="100"/>
      <c r="F46" s="96" t="s">
        <v>158</v>
      </c>
      <c r="G46" s="374">
        <v>567904.9</v>
      </c>
      <c r="N46" s="172"/>
    </row>
    <row r="47" spans="1:14" ht="22.5" customHeight="1">
      <c r="A47" s="243">
        <f>208916+100000+60000</f>
        <v>368916</v>
      </c>
      <c r="B47" s="366">
        <f>100693.09+24587.82+25939.82+35237.9+33720.34+41879.47</f>
        <v>262058.44</v>
      </c>
      <c r="C47" s="98"/>
      <c r="D47" s="102" t="s">
        <v>65</v>
      </c>
      <c r="E47" s="100"/>
      <c r="F47" s="96" t="s">
        <v>159</v>
      </c>
      <c r="G47" s="374">
        <v>41879.47</v>
      </c>
      <c r="N47" s="172"/>
    </row>
    <row r="48" spans="1:14" ht="22.5" customHeight="1">
      <c r="A48" s="243">
        <f>139000+40000+10000+77960+263100+3000</f>
        <v>533060</v>
      </c>
      <c r="B48" s="366">
        <f>4500+72402.5+17290+7000</f>
        <v>101192.5</v>
      </c>
      <c r="C48" s="98"/>
      <c r="D48" s="102" t="s">
        <v>48</v>
      </c>
      <c r="E48" s="100"/>
      <c r="F48" s="101">
        <v>541000</v>
      </c>
      <c r="G48" s="374">
        <v>7000</v>
      </c>
      <c r="N48" s="172"/>
    </row>
    <row r="49" spans="1:14" ht="22.5" customHeight="1">
      <c r="A49" s="243">
        <v>2787150</v>
      </c>
      <c r="B49" s="366">
        <f>43530+42200+108840+1019895</f>
        <v>1214465</v>
      </c>
      <c r="C49" s="98"/>
      <c r="D49" s="102" t="s">
        <v>49</v>
      </c>
      <c r="E49" s="100"/>
      <c r="F49" s="96" t="s">
        <v>160</v>
      </c>
      <c r="G49" s="374">
        <v>1019895</v>
      </c>
      <c r="N49" s="172"/>
    </row>
    <row r="50" spans="1:14" ht="22.5" customHeight="1">
      <c r="A50" s="243">
        <f>25000+163000</f>
        <v>188000</v>
      </c>
      <c r="B50" s="366">
        <f>84687+3500</f>
        <v>88187</v>
      </c>
      <c r="C50" s="98"/>
      <c r="D50" s="102" t="s">
        <v>67</v>
      </c>
      <c r="E50" s="100"/>
      <c r="F50" s="96" t="s">
        <v>181</v>
      </c>
      <c r="G50" s="374">
        <v>3500</v>
      </c>
      <c r="N50" s="172"/>
    </row>
    <row r="51" spans="1:14" ht="22.5" customHeight="1">
      <c r="A51" s="243">
        <v>1070800</v>
      </c>
      <c r="B51" s="393">
        <f>465400+5000</f>
        <v>470400</v>
      </c>
      <c r="C51" s="102"/>
      <c r="D51" s="102" t="s">
        <v>38</v>
      </c>
      <c r="F51" s="96" t="s">
        <v>180</v>
      </c>
      <c r="G51" s="374">
        <v>0</v>
      </c>
      <c r="N51" s="172"/>
    </row>
    <row r="52" spans="1:14" ht="22.5" customHeight="1" thickBot="1">
      <c r="A52" s="239">
        <f>SUM(A41:A51)</f>
        <v>18042650</v>
      </c>
      <c r="B52" s="239">
        <f>SUM(B41:B51)</f>
        <v>9633731.57</v>
      </c>
      <c r="C52" s="102"/>
      <c r="F52" s="96"/>
      <c r="G52" s="239">
        <f>SUM(G41:G51)</f>
        <v>2536769.37</v>
      </c>
      <c r="N52" s="234"/>
    </row>
    <row r="53" spans="1:7" ht="22.5" customHeight="1" thickTop="1">
      <c r="A53" s="123"/>
      <c r="B53" s="374">
        <f>2087680+111548+171332+76925+283903</f>
        <v>2731388</v>
      </c>
      <c r="C53" s="102"/>
      <c r="D53" s="102" t="s">
        <v>325</v>
      </c>
      <c r="E53" s="100"/>
      <c r="F53" s="96" t="s">
        <v>178</v>
      </c>
      <c r="G53" s="374">
        <v>283903</v>
      </c>
    </row>
    <row r="54" spans="1:7" ht="22.5" customHeight="1">
      <c r="A54" s="368"/>
      <c r="B54" s="374">
        <f>665258.7+4801.3</f>
        <v>670060</v>
      </c>
      <c r="C54" s="102"/>
      <c r="D54" s="102" t="s">
        <v>109</v>
      </c>
      <c r="E54" s="100"/>
      <c r="F54" s="96" t="s">
        <v>185</v>
      </c>
      <c r="G54" s="374">
        <v>0</v>
      </c>
    </row>
    <row r="55" spans="1:7" ht="22.5" customHeight="1">
      <c r="A55" s="368"/>
      <c r="B55" s="374">
        <f>0.01+755.28+3527.76+17893.67+1597.95+1403.89+6137.23+1494.81+1649.67</f>
        <v>34460.27</v>
      </c>
      <c r="C55" s="102"/>
      <c r="D55" s="102" t="s">
        <v>131</v>
      </c>
      <c r="E55" s="100"/>
      <c r="F55" s="96" t="s">
        <v>164</v>
      </c>
      <c r="G55" s="374">
        <v>1649.67</v>
      </c>
    </row>
    <row r="56" spans="1:7" ht="22.5" customHeight="1">
      <c r="A56" s="368"/>
      <c r="B56" s="374">
        <v>48000</v>
      </c>
      <c r="C56" s="102"/>
      <c r="D56" s="102" t="s">
        <v>326</v>
      </c>
      <c r="E56" s="100"/>
      <c r="F56" s="96" t="s">
        <v>138</v>
      </c>
      <c r="G56" s="374">
        <v>0</v>
      </c>
    </row>
    <row r="57" spans="1:7" ht="22.5" customHeight="1">
      <c r="A57" s="368"/>
      <c r="B57" s="374">
        <f>74500+313064.5</f>
        <v>387564.5</v>
      </c>
      <c r="C57" s="102"/>
      <c r="D57" s="102" t="s">
        <v>327</v>
      </c>
      <c r="E57" s="100"/>
      <c r="F57" s="96" t="s">
        <v>139</v>
      </c>
      <c r="G57" s="374">
        <v>0</v>
      </c>
    </row>
    <row r="58" spans="1:7" ht="22.5" customHeight="1">
      <c r="A58" s="368"/>
      <c r="B58" s="374">
        <f>27932+111265+88348+86496+86592+105538+89866+154380+65288</f>
        <v>815705</v>
      </c>
      <c r="C58" s="102"/>
      <c r="D58" s="102" t="s">
        <v>50</v>
      </c>
      <c r="F58" s="96" t="s">
        <v>183</v>
      </c>
      <c r="G58" s="374">
        <v>65288</v>
      </c>
    </row>
    <row r="59" spans="1:7" ht="22.5" customHeight="1">
      <c r="A59" s="368"/>
      <c r="B59" s="374">
        <f>208720+52500</f>
        <v>261220</v>
      </c>
      <c r="C59" s="102"/>
      <c r="D59" s="102" t="s">
        <v>252</v>
      </c>
      <c r="F59" s="96" t="s">
        <v>251</v>
      </c>
      <c r="G59" s="374">
        <v>0</v>
      </c>
    </row>
    <row r="60" spans="1:7" ht="22.5" customHeight="1">
      <c r="A60" s="368"/>
      <c r="B60" s="374">
        <f>913000+445500+444500+444011.42+384500+867000+455000</f>
        <v>3953511.42</v>
      </c>
      <c r="C60" s="102"/>
      <c r="D60" s="102" t="s">
        <v>127</v>
      </c>
      <c r="F60" s="97" t="s">
        <v>213</v>
      </c>
      <c r="G60" s="374">
        <v>455000</v>
      </c>
    </row>
    <row r="61" spans="1:7" ht="22.5" customHeight="1" thickBot="1">
      <c r="A61" s="368"/>
      <c r="B61" s="239">
        <f>SUM(B53:B60)</f>
        <v>8901909.19</v>
      </c>
      <c r="G61" s="239">
        <f>SUM(G53:G60)</f>
        <v>805840.6699999999</v>
      </c>
    </row>
    <row r="62" spans="1:7" ht="22.5" customHeight="1" thickBot="1" thickTop="1">
      <c r="A62" s="368"/>
      <c r="B62" s="239">
        <f>B52+B61</f>
        <v>18535640.759999998</v>
      </c>
      <c r="C62" s="500" t="s">
        <v>51</v>
      </c>
      <c r="D62" s="501"/>
      <c r="E62" s="501"/>
      <c r="F62" s="502"/>
      <c r="G62" s="239">
        <f>G52+G61</f>
        <v>3342610.04</v>
      </c>
    </row>
    <row r="63" spans="1:7" ht="22.5" customHeight="1" thickTop="1">
      <c r="A63" s="368"/>
      <c r="B63" s="243">
        <f>B33-B62</f>
        <v>2937314.5600000024</v>
      </c>
      <c r="C63" s="500" t="s">
        <v>52</v>
      </c>
      <c r="D63" s="501"/>
      <c r="E63" s="501"/>
      <c r="F63" s="502"/>
      <c r="G63" s="405"/>
    </row>
    <row r="64" spans="1:7" ht="23.25">
      <c r="A64" s="368"/>
      <c r="B64" s="365"/>
      <c r="C64" s="500" t="s">
        <v>53</v>
      </c>
      <c r="D64" s="501"/>
      <c r="E64" s="501"/>
      <c r="F64" s="502"/>
      <c r="G64" s="243"/>
    </row>
    <row r="65" spans="2:7" ht="23.25">
      <c r="B65" s="405"/>
      <c r="C65" s="500" t="s">
        <v>54</v>
      </c>
      <c r="D65" s="501"/>
      <c r="E65" s="501"/>
      <c r="F65" s="502"/>
      <c r="G65" s="405">
        <f>G33-G62</f>
        <v>-2679325.84</v>
      </c>
    </row>
    <row r="66" spans="2:7" ht="22.5" customHeight="1">
      <c r="B66" s="370">
        <f>B9+B63</f>
        <v>10011789.180000003</v>
      </c>
      <c r="C66" s="500" t="s">
        <v>55</v>
      </c>
      <c r="D66" s="501"/>
      <c r="E66" s="501"/>
      <c r="F66" s="502"/>
      <c r="G66" s="389">
        <f>G9+G65</f>
        <v>10011789.18</v>
      </c>
    </row>
    <row r="67" spans="2:7" ht="22.5" customHeight="1">
      <c r="B67" s="123"/>
      <c r="C67" s="95"/>
      <c r="D67" s="95"/>
      <c r="E67" s="95"/>
      <c r="F67" s="95"/>
      <c r="G67" s="123"/>
    </row>
    <row r="68" spans="2:7" ht="22.5" customHeight="1">
      <c r="B68" s="123"/>
      <c r="C68" s="95"/>
      <c r="D68" s="95"/>
      <c r="E68" s="95"/>
      <c r="F68" s="95"/>
      <c r="G68" s="123"/>
    </row>
    <row r="69" spans="1:7" ht="23.25">
      <c r="A69" s="499" t="s">
        <v>119</v>
      </c>
      <c r="B69" s="499"/>
      <c r="C69" s="499" t="s">
        <v>119</v>
      </c>
      <c r="D69" s="499"/>
      <c r="E69" s="499" t="s">
        <v>119</v>
      </c>
      <c r="F69" s="499"/>
      <c r="G69" s="499"/>
    </row>
    <row r="70" spans="1:7" ht="23.25">
      <c r="A70" s="499" t="s">
        <v>300</v>
      </c>
      <c r="B70" s="499"/>
      <c r="C70" s="499" t="s">
        <v>370</v>
      </c>
      <c r="D70" s="499"/>
      <c r="E70" s="499" t="s">
        <v>281</v>
      </c>
      <c r="F70" s="499"/>
      <c r="G70" s="499"/>
    </row>
    <row r="71" spans="1:7" ht="23.25">
      <c r="A71" s="499" t="s">
        <v>97</v>
      </c>
      <c r="B71" s="499"/>
      <c r="C71" s="499" t="s">
        <v>280</v>
      </c>
      <c r="D71" s="499"/>
      <c r="E71" s="499" t="s">
        <v>282</v>
      </c>
      <c r="F71" s="499"/>
      <c r="G71" s="499"/>
    </row>
    <row r="72" spans="1:6" ht="23.25">
      <c r="A72" s="499"/>
      <c r="B72" s="499"/>
      <c r="D72" s="507"/>
      <c r="E72" s="507"/>
      <c r="F72" s="507"/>
    </row>
  </sheetData>
  <mergeCells count="30">
    <mergeCell ref="D72:F72"/>
    <mergeCell ref="A1:G1"/>
    <mergeCell ref="A2:G2"/>
    <mergeCell ref="A4:G4"/>
    <mergeCell ref="A6:B6"/>
    <mergeCell ref="C6:D6"/>
    <mergeCell ref="C7:D7"/>
    <mergeCell ref="C8:D8"/>
    <mergeCell ref="A37:B37"/>
    <mergeCell ref="C37:D37"/>
    <mergeCell ref="A36:G36"/>
    <mergeCell ref="C38:D38"/>
    <mergeCell ref="C39:D39"/>
    <mergeCell ref="D5:G5"/>
    <mergeCell ref="C33:D33"/>
    <mergeCell ref="C66:F66"/>
    <mergeCell ref="C62:F62"/>
    <mergeCell ref="C63:F63"/>
    <mergeCell ref="C64:F64"/>
    <mergeCell ref="C65:F65"/>
    <mergeCell ref="A72:B72"/>
    <mergeCell ref="E69:G69"/>
    <mergeCell ref="E70:G70"/>
    <mergeCell ref="E71:G71"/>
    <mergeCell ref="A69:B69"/>
    <mergeCell ref="A70:B70"/>
    <mergeCell ref="A71:B71"/>
    <mergeCell ref="C69:D69"/>
    <mergeCell ref="C70:D70"/>
    <mergeCell ref="C71:D71"/>
  </mergeCells>
  <printOptions/>
  <pageMargins left="0.25" right="0" top="0.25" bottom="0.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41"/>
  <sheetViews>
    <sheetView view="pageBreakPreview" zoomScaleSheetLayoutView="100" workbookViewId="0" topLeftCell="A130">
      <selection activeCell="A37" sqref="A37:IV37"/>
    </sheetView>
  </sheetViews>
  <sheetFormatPr defaultColWidth="9.140625" defaultRowHeight="21.75"/>
  <cols>
    <col min="1" max="1" width="16.140625" style="71" bestFit="1" customWidth="1"/>
    <col min="2" max="3" width="11.140625" style="71" customWidth="1"/>
    <col min="4" max="4" width="10.421875" style="71" customWidth="1"/>
    <col min="5" max="6" width="11.140625" style="71" customWidth="1"/>
    <col min="7" max="7" width="9.8515625" style="71" customWidth="1"/>
    <col min="8" max="9" width="11.140625" style="71" customWidth="1"/>
    <col min="10" max="10" width="11.140625" style="71" bestFit="1" customWidth="1"/>
    <col min="11" max="15" width="9.8515625" style="71" customWidth="1"/>
    <col min="16" max="16" width="11.140625" style="71" bestFit="1" customWidth="1"/>
    <col min="17" max="17" width="12.00390625" style="71" bestFit="1" customWidth="1"/>
    <col min="18" max="18" width="9.140625" style="71" customWidth="1"/>
    <col min="19" max="19" width="12.00390625" style="71" bestFit="1" customWidth="1"/>
    <col min="20" max="16384" width="9.140625" style="71" customWidth="1"/>
  </cols>
  <sheetData>
    <row r="1" spans="1:17" s="23" customFormat="1" ht="23.25" customHeight="1">
      <c r="A1" s="540" t="s">
        <v>13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</row>
    <row r="2" spans="1:17" s="23" customFormat="1" ht="23.25" customHeight="1">
      <c r="A2" s="540" t="s">
        <v>14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</row>
    <row r="3" spans="1:17" s="23" customFormat="1" ht="23.25" customHeight="1" thickBot="1">
      <c r="A3" s="541" t="s">
        <v>335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</row>
    <row r="4" spans="1:17" s="62" customFormat="1" ht="21.75" customHeight="1">
      <c r="A4" s="57" t="s">
        <v>15</v>
      </c>
      <c r="B4" s="536" t="s">
        <v>79</v>
      </c>
      <c r="C4" s="537"/>
      <c r="D4" s="436" t="s">
        <v>82</v>
      </c>
      <c r="E4" s="536" t="s">
        <v>88</v>
      </c>
      <c r="F4" s="537"/>
      <c r="G4" s="58" t="s">
        <v>89</v>
      </c>
      <c r="H4" s="59" t="s">
        <v>92</v>
      </c>
      <c r="I4" s="536" t="s">
        <v>83</v>
      </c>
      <c r="J4" s="537"/>
      <c r="K4" s="60" t="s">
        <v>93</v>
      </c>
      <c r="L4" s="317"/>
      <c r="M4" s="318" t="s">
        <v>84</v>
      </c>
      <c r="N4" s="60" t="s">
        <v>96</v>
      </c>
      <c r="O4" s="60" t="s">
        <v>112</v>
      </c>
      <c r="P4" s="58" t="s">
        <v>77</v>
      </c>
      <c r="Q4" s="61" t="s">
        <v>16</v>
      </c>
    </row>
    <row r="5" spans="1:17" s="62" customFormat="1" ht="19.5" thickBot="1">
      <c r="A5" s="63" t="s">
        <v>17</v>
      </c>
      <c r="B5" s="65" t="s">
        <v>80</v>
      </c>
      <c r="C5" s="66" t="s">
        <v>81</v>
      </c>
      <c r="D5" s="64" t="s">
        <v>73</v>
      </c>
      <c r="E5" s="65" t="s">
        <v>87</v>
      </c>
      <c r="F5" s="137" t="s">
        <v>107</v>
      </c>
      <c r="G5" s="65" t="s">
        <v>90</v>
      </c>
      <c r="H5" s="68" t="s">
        <v>91</v>
      </c>
      <c r="I5" s="64" t="s">
        <v>75</v>
      </c>
      <c r="J5" s="64" t="s">
        <v>76</v>
      </c>
      <c r="K5" s="69" t="s">
        <v>289</v>
      </c>
      <c r="L5" s="66" t="s">
        <v>85</v>
      </c>
      <c r="M5" s="67" t="s">
        <v>86</v>
      </c>
      <c r="N5" s="69" t="s">
        <v>95</v>
      </c>
      <c r="O5" s="69" t="s">
        <v>113</v>
      </c>
      <c r="P5" s="64" t="s">
        <v>78</v>
      </c>
      <c r="Q5" s="70"/>
    </row>
    <row r="6" spans="1:17" s="148" customFormat="1" ht="21" customHeight="1">
      <c r="A6" s="334" t="s">
        <v>206</v>
      </c>
      <c r="B6" s="322"/>
      <c r="C6" s="323"/>
      <c r="D6" s="322"/>
      <c r="E6" s="323"/>
      <c r="F6" s="323"/>
      <c r="G6" s="323"/>
      <c r="H6" s="335"/>
      <c r="I6" s="322"/>
      <c r="J6" s="322"/>
      <c r="K6" s="336"/>
      <c r="L6" s="322"/>
      <c r="M6" s="335"/>
      <c r="N6" s="336"/>
      <c r="O6" s="336"/>
      <c r="P6" s="322"/>
      <c r="Q6" s="336"/>
    </row>
    <row r="7" spans="1:17" s="148" customFormat="1" ht="21" customHeight="1">
      <c r="A7" s="337" t="s">
        <v>137</v>
      </c>
      <c r="B7" s="324">
        <v>0</v>
      </c>
      <c r="C7" s="338">
        <v>0</v>
      </c>
      <c r="D7" s="324">
        <v>0</v>
      </c>
      <c r="E7" s="324">
        <v>0</v>
      </c>
      <c r="F7" s="324">
        <v>0</v>
      </c>
      <c r="G7" s="324">
        <v>0</v>
      </c>
      <c r="H7" s="324">
        <v>0</v>
      </c>
      <c r="I7" s="324">
        <v>0</v>
      </c>
      <c r="J7" s="324">
        <v>0</v>
      </c>
      <c r="K7" s="324">
        <v>0</v>
      </c>
      <c r="L7" s="324">
        <v>0</v>
      </c>
      <c r="M7" s="324">
        <v>0</v>
      </c>
      <c r="N7" s="324">
        <v>0</v>
      </c>
      <c r="O7" s="324">
        <v>0</v>
      </c>
      <c r="P7" s="174">
        <v>25449</v>
      </c>
      <c r="Q7" s="324">
        <f aca="true" t="shared" si="0" ref="Q7:Q15">SUM(B7:P7)</f>
        <v>25449</v>
      </c>
    </row>
    <row r="8" spans="1:17" s="148" customFormat="1" ht="21" customHeight="1">
      <c r="A8" s="337" t="s">
        <v>202</v>
      </c>
      <c r="B8" s="324">
        <v>0</v>
      </c>
      <c r="C8" s="338">
        <v>0</v>
      </c>
      <c r="D8" s="324">
        <v>0</v>
      </c>
      <c r="E8" s="324">
        <v>0</v>
      </c>
      <c r="F8" s="324">
        <v>0</v>
      </c>
      <c r="G8" s="324">
        <v>0</v>
      </c>
      <c r="H8" s="324">
        <v>0</v>
      </c>
      <c r="I8" s="324">
        <v>0</v>
      </c>
      <c r="J8" s="324">
        <v>0</v>
      </c>
      <c r="K8" s="324">
        <v>0</v>
      </c>
      <c r="L8" s="324">
        <v>0</v>
      </c>
      <c r="M8" s="324">
        <v>0</v>
      </c>
      <c r="N8" s="324">
        <v>0</v>
      </c>
      <c r="O8" s="324">
        <v>0</v>
      </c>
      <c r="P8" s="174">
        <v>0</v>
      </c>
      <c r="Q8" s="324">
        <f t="shared" si="0"/>
        <v>0</v>
      </c>
    </row>
    <row r="9" spans="1:17" s="148" customFormat="1" ht="21" customHeight="1">
      <c r="A9" s="337" t="s">
        <v>203</v>
      </c>
      <c r="B9" s="324">
        <v>0</v>
      </c>
      <c r="C9" s="338">
        <v>0</v>
      </c>
      <c r="D9" s="324">
        <v>0</v>
      </c>
      <c r="E9" s="324">
        <v>0</v>
      </c>
      <c r="F9" s="324">
        <v>0</v>
      </c>
      <c r="G9" s="324">
        <v>0</v>
      </c>
      <c r="H9" s="324">
        <v>0</v>
      </c>
      <c r="I9" s="324">
        <v>0</v>
      </c>
      <c r="J9" s="324">
        <v>0</v>
      </c>
      <c r="K9" s="324">
        <v>0</v>
      </c>
      <c r="L9" s="324">
        <v>0</v>
      </c>
      <c r="M9" s="324">
        <v>0</v>
      </c>
      <c r="N9" s="324">
        <v>0</v>
      </c>
      <c r="O9" s="324">
        <v>0</v>
      </c>
      <c r="P9" s="174">
        <v>15500</v>
      </c>
      <c r="Q9" s="324">
        <f t="shared" si="0"/>
        <v>15500</v>
      </c>
    </row>
    <row r="10" spans="1:17" s="148" customFormat="1" ht="21" customHeight="1">
      <c r="A10" s="337" t="s">
        <v>291</v>
      </c>
      <c r="B10" s="324">
        <v>0</v>
      </c>
      <c r="C10" s="338">
        <v>0</v>
      </c>
      <c r="D10" s="324">
        <v>0</v>
      </c>
      <c r="E10" s="324">
        <v>0</v>
      </c>
      <c r="F10" s="324">
        <v>0</v>
      </c>
      <c r="G10" s="324">
        <v>0</v>
      </c>
      <c r="H10" s="324">
        <v>0</v>
      </c>
      <c r="I10" s="324">
        <v>0</v>
      </c>
      <c r="J10" s="324">
        <v>0</v>
      </c>
      <c r="K10" s="324">
        <v>0</v>
      </c>
      <c r="L10" s="324">
        <v>0</v>
      </c>
      <c r="M10" s="324">
        <v>0</v>
      </c>
      <c r="N10" s="324">
        <v>0</v>
      </c>
      <c r="O10" s="324">
        <v>0</v>
      </c>
      <c r="P10" s="174">
        <v>1500</v>
      </c>
      <c r="Q10" s="324">
        <f t="shared" si="0"/>
        <v>1500</v>
      </c>
    </row>
    <row r="11" spans="1:17" s="148" customFormat="1" ht="21" customHeight="1">
      <c r="A11" s="337" t="s">
        <v>247</v>
      </c>
      <c r="B11" s="324">
        <v>0</v>
      </c>
      <c r="C11" s="338">
        <v>0</v>
      </c>
      <c r="D11" s="324">
        <v>0</v>
      </c>
      <c r="E11" s="324">
        <v>0</v>
      </c>
      <c r="F11" s="324">
        <v>0</v>
      </c>
      <c r="G11" s="324">
        <v>0</v>
      </c>
      <c r="H11" s="324">
        <v>0</v>
      </c>
      <c r="I11" s="324">
        <v>0</v>
      </c>
      <c r="J11" s="324">
        <v>0</v>
      </c>
      <c r="K11" s="324">
        <v>0</v>
      </c>
      <c r="L11" s="324">
        <v>0</v>
      </c>
      <c r="M11" s="324">
        <v>0</v>
      </c>
      <c r="N11" s="324">
        <v>0</v>
      </c>
      <c r="O11" s="324">
        <v>0</v>
      </c>
      <c r="P11" s="174">
        <v>0</v>
      </c>
      <c r="Q11" s="324">
        <f t="shared" si="0"/>
        <v>0</v>
      </c>
    </row>
    <row r="12" spans="1:17" s="148" customFormat="1" ht="21" customHeight="1">
      <c r="A12" s="337" t="s">
        <v>204</v>
      </c>
      <c r="B12" s="324">
        <v>0</v>
      </c>
      <c r="C12" s="338">
        <v>0</v>
      </c>
      <c r="D12" s="324">
        <v>0</v>
      </c>
      <c r="E12" s="324">
        <v>0</v>
      </c>
      <c r="F12" s="324">
        <v>0</v>
      </c>
      <c r="G12" s="324">
        <v>0</v>
      </c>
      <c r="H12" s="324">
        <v>0</v>
      </c>
      <c r="I12" s="324">
        <v>0</v>
      </c>
      <c r="J12" s="324">
        <v>0</v>
      </c>
      <c r="K12" s="324">
        <v>0</v>
      </c>
      <c r="L12" s="324">
        <v>0</v>
      </c>
      <c r="M12" s="324">
        <v>0</v>
      </c>
      <c r="N12" s="324">
        <v>0</v>
      </c>
      <c r="O12" s="324">
        <v>0</v>
      </c>
      <c r="P12" s="174">
        <v>16500</v>
      </c>
      <c r="Q12" s="324">
        <f t="shared" si="0"/>
        <v>16500</v>
      </c>
    </row>
    <row r="13" spans="1:17" s="148" customFormat="1" ht="21" customHeight="1">
      <c r="A13" s="337" t="s">
        <v>205</v>
      </c>
      <c r="B13" s="324">
        <v>0</v>
      </c>
      <c r="C13" s="338">
        <v>0</v>
      </c>
      <c r="D13" s="324">
        <v>0</v>
      </c>
      <c r="E13" s="324">
        <v>0</v>
      </c>
      <c r="F13" s="324">
        <v>0</v>
      </c>
      <c r="G13" s="324">
        <v>0</v>
      </c>
      <c r="H13" s="324">
        <v>0</v>
      </c>
      <c r="I13" s="324">
        <v>0</v>
      </c>
      <c r="J13" s="324">
        <v>0</v>
      </c>
      <c r="K13" s="324">
        <v>0</v>
      </c>
      <c r="L13" s="324">
        <v>0</v>
      </c>
      <c r="M13" s="324">
        <v>0</v>
      </c>
      <c r="N13" s="324">
        <v>0</v>
      </c>
      <c r="O13" s="324">
        <v>0</v>
      </c>
      <c r="P13" s="174">
        <v>0</v>
      </c>
      <c r="Q13" s="324">
        <f t="shared" si="0"/>
        <v>0</v>
      </c>
    </row>
    <row r="14" spans="1:17" s="341" customFormat="1" ht="18">
      <c r="A14" s="72" t="s">
        <v>18</v>
      </c>
      <c r="B14" s="73">
        <f aca="true" t="shared" si="1" ref="B14:P14">SUM(B7:B13)</f>
        <v>0</v>
      </c>
      <c r="C14" s="73">
        <f t="shared" si="1"/>
        <v>0</v>
      </c>
      <c r="D14" s="73">
        <f t="shared" si="1"/>
        <v>0</v>
      </c>
      <c r="E14" s="73">
        <f t="shared" si="1"/>
        <v>0</v>
      </c>
      <c r="F14" s="73">
        <f t="shared" si="1"/>
        <v>0</v>
      </c>
      <c r="G14" s="73">
        <f t="shared" si="1"/>
        <v>0</v>
      </c>
      <c r="H14" s="73">
        <f t="shared" si="1"/>
        <v>0</v>
      </c>
      <c r="I14" s="73">
        <f t="shared" si="1"/>
        <v>0</v>
      </c>
      <c r="J14" s="73">
        <f t="shared" si="1"/>
        <v>0</v>
      </c>
      <c r="K14" s="73">
        <f t="shared" si="1"/>
        <v>0</v>
      </c>
      <c r="L14" s="73">
        <f t="shared" si="1"/>
        <v>0</v>
      </c>
      <c r="M14" s="73">
        <f t="shared" si="1"/>
        <v>0</v>
      </c>
      <c r="N14" s="73">
        <f t="shared" si="1"/>
        <v>0</v>
      </c>
      <c r="O14" s="73">
        <f t="shared" si="1"/>
        <v>0</v>
      </c>
      <c r="P14" s="73">
        <f t="shared" si="1"/>
        <v>58949</v>
      </c>
      <c r="Q14" s="74">
        <f t="shared" si="0"/>
        <v>58949</v>
      </c>
    </row>
    <row r="15" spans="1:17" s="342" customFormat="1" ht="18">
      <c r="A15" s="72" t="s">
        <v>19</v>
      </c>
      <c r="B15" s="73">
        <v>0</v>
      </c>
      <c r="C15" s="73">
        <f>0</f>
        <v>0</v>
      </c>
      <c r="D15" s="73">
        <f>0</f>
        <v>0</v>
      </c>
      <c r="E15" s="73">
        <f>0</f>
        <v>0</v>
      </c>
      <c r="F15" s="73">
        <f>0</f>
        <v>0</v>
      </c>
      <c r="G15" s="73">
        <f>0</f>
        <v>0</v>
      </c>
      <c r="H15" s="73">
        <f>0</f>
        <v>0</v>
      </c>
      <c r="I15" s="73">
        <f>0</f>
        <v>0</v>
      </c>
      <c r="J15" s="73">
        <f>0</f>
        <v>0</v>
      </c>
      <c r="K15" s="73">
        <f>0</f>
        <v>0</v>
      </c>
      <c r="L15" s="73">
        <f>0</f>
        <v>0</v>
      </c>
      <c r="M15" s="73">
        <f>0</f>
        <v>0</v>
      </c>
      <c r="N15" s="73">
        <f>0</f>
        <v>0</v>
      </c>
      <c r="O15" s="73">
        <f>0</f>
        <v>0</v>
      </c>
      <c r="P15" s="73">
        <f>247760+244715+123164+98948-4500+433918.37+28710+65572+58949</f>
        <v>1297236.37</v>
      </c>
      <c r="Q15" s="74">
        <f t="shared" si="0"/>
        <v>1297236.37</v>
      </c>
    </row>
    <row r="16" spans="1:17" s="148" customFormat="1" ht="21" customHeight="1">
      <c r="A16" s="326">
        <v>521000</v>
      </c>
      <c r="B16" s="74"/>
      <c r="C16" s="328"/>
      <c r="D16" s="74"/>
      <c r="E16" s="328"/>
      <c r="F16" s="328"/>
      <c r="G16" s="328"/>
      <c r="H16" s="74"/>
      <c r="I16" s="74"/>
      <c r="J16" s="74"/>
      <c r="K16" s="324"/>
      <c r="L16" s="74"/>
      <c r="M16" s="74"/>
      <c r="N16" s="324"/>
      <c r="O16" s="324"/>
      <c r="P16" s="73"/>
      <c r="Q16" s="324"/>
    </row>
    <row r="17" spans="1:17" s="148" customFormat="1" ht="21" customHeight="1">
      <c r="A17" s="325">
        <v>210100</v>
      </c>
      <c r="B17" s="174">
        <v>34440</v>
      </c>
      <c r="C17" s="174">
        <v>0</v>
      </c>
      <c r="D17" s="174">
        <v>0</v>
      </c>
      <c r="E17" s="174">
        <v>0</v>
      </c>
      <c r="F17" s="174"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4">
        <v>0</v>
      </c>
      <c r="N17" s="174">
        <v>0</v>
      </c>
      <c r="O17" s="174">
        <v>0</v>
      </c>
      <c r="P17" s="174">
        <v>0</v>
      </c>
      <c r="Q17" s="324">
        <f aca="true" t="shared" si="2" ref="Q17:Q23">SUM(B17:P17)</f>
        <v>34440</v>
      </c>
    </row>
    <row r="18" spans="1:17" s="148" customFormat="1" ht="21" customHeight="1">
      <c r="A18" s="325">
        <v>210200</v>
      </c>
      <c r="B18" s="174">
        <v>3200</v>
      </c>
      <c r="C18" s="174">
        <v>0</v>
      </c>
      <c r="D18" s="174">
        <v>0</v>
      </c>
      <c r="E18" s="174">
        <v>0</v>
      </c>
      <c r="F18" s="174">
        <v>0</v>
      </c>
      <c r="G18" s="174">
        <v>0</v>
      </c>
      <c r="H18" s="174">
        <v>0</v>
      </c>
      <c r="I18" s="174">
        <v>0</v>
      </c>
      <c r="J18" s="174">
        <v>0</v>
      </c>
      <c r="K18" s="174">
        <v>0</v>
      </c>
      <c r="L18" s="174">
        <v>0</v>
      </c>
      <c r="M18" s="174">
        <v>0</v>
      </c>
      <c r="N18" s="174">
        <v>0</v>
      </c>
      <c r="O18" s="174">
        <v>0</v>
      </c>
      <c r="P18" s="174">
        <v>0</v>
      </c>
      <c r="Q18" s="324">
        <f t="shared" si="2"/>
        <v>3200</v>
      </c>
    </row>
    <row r="19" spans="1:17" s="148" customFormat="1" ht="21" customHeight="1">
      <c r="A19" s="325">
        <v>210300</v>
      </c>
      <c r="B19" s="174">
        <v>3200</v>
      </c>
      <c r="C19" s="174">
        <v>0</v>
      </c>
      <c r="D19" s="174">
        <v>0</v>
      </c>
      <c r="E19" s="174">
        <v>0</v>
      </c>
      <c r="F19" s="174">
        <v>0</v>
      </c>
      <c r="G19" s="174">
        <v>0</v>
      </c>
      <c r="H19" s="174">
        <v>0</v>
      </c>
      <c r="I19" s="174">
        <v>0</v>
      </c>
      <c r="J19" s="174">
        <v>0</v>
      </c>
      <c r="K19" s="174">
        <v>0</v>
      </c>
      <c r="L19" s="174">
        <v>0</v>
      </c>
      <c r="M19" s="174">
        <v>0</v>
      </c>
      <c r="N19" s="174">
        <v>0</v>
      </c>
      <c r="O19" s="174">
        <v>0</v>
      </c>
      <c r="P19" s="174">
        <v>0</v>
      </c>
      <c r="Q19" s="324">
        <f t="shared" si="2"/>
        <v>3200</v>
      </c>
    </row>
    <row r="20" spans="1:17" s="148" customFormat="1" ht="21" customHeight="1">
      <c r="A20" s="325">
        <v>210400</v>
      </c>
      <c r="B20" s="174">
        <v>0</v>
      </c>
      <c r="C20" s="174">
        <v>0</v>
      </c>
      <c r="D20" s="174">
        <v>0</v>
      </c>
      <c r="E20" s="174">
        <v>0</v>
      </c>
      <c r="F20" s="174">
        <v>0</v>
      </c>
      <c r="G20" s="174">
        <v>0</v>
      </c>
      <c r="H20" s="174">
        <v>0</v>
      </c>
      <c r="I20" s="174">
        <v>0</v>
      </c>
      <c r="J20" s="174">
        <v>0</v>
      </c>
      <c r="K20" s="174">
        <v>0</v>
      </c>
      <c r="L20" s="174">
        <v>0</v>
      </c>
      <c r="M20" s="174">
        <v>0</v>
      </c>
      <c r="N20" s="174">
        <v>0</v>
      </c>
      <c r="O20" s="174">
        <v>0</v>
      </c>
      <c r="P20" s="174">
        <v>0</v>
      </c>
      <c r="Q20" s="324">
        <f t="shared" si="2"/>
        <v>0</v>
      </c>
    </row>
    <row r="21" spans="1:17" s="148" customFormat="1" ht="21" customHeight="1">
      <c r="A21" s="325">
        <v>210600</v>
      </c>
      <c r="B21" s="174">
        <v>96760</v>
      </c>
      <c r="C21" s="174">
        <v>0</v>
      </c>
      <c r="D21" s="174">
        <v>0</v>
      </c>
      <c r="E21" s="174">
        <v>0</v>
      </c>
      <c r="F21" s="174">
        <v>0</v>
      </c>
      <c r="G21" s="174">
        <v>0</v>
      </c>
      <c r="H21" s="174">
        <v>0</v>
      </c>
      <c r="I21" s="174">
        <v>0</v>
      </c>
      <c r="J21" s="174">
        <v>0</v>
      </c>
      <c r="K21" s="174">
        <v>0</v>
      </c>
      <c r="L21" s="174">
        <v>0</v>
      </c>
      <c r="M21" s="174">
        <v>0</v>
      </c>
      <c r="N21" s="174">
        <v>0</v>
      </c>
      <c r="O21" s="174">
        <v>0</v>
      </c>
      <c r="P21" s="174">
        <v>0</v>
      </c>
      <c r="Q21" s="324">
        <f t="shared" si="2"/>
        <v>96760</v>
      </c>
    </row>
    <row r="22" spans="1:17" s="341" customFormat="1" ht="18">
      <c r="A22" s="72" t="s">
        <v>18</v>
      </c>
      <c r="B22" s="73">
        <f aca="true" t="shared" si="3" ref="B22:P22">SUM(B17:B21)</f>
        <v>137600</v>
      </c>
      <c r="C22" s="73">
        <f t="shared" si="3"/>
        <v>0</v>
      </c>
      <c r="D22" s="73">
        <f t="shared" si="3"/>
        <v>0</v>
      </c>
      <c r="E22" s="73">
        <f t="shared" si="3"/>
        <v>0</v>
      </c>
      <c r="F22" s="73">
        <f t="shared" si="3"/>
        <v>0</v>
      </c>
      <c r="G22" s="73">
        <f t="shared" si="3"/>
        <v>0</v>
      </c>
      <c r="H22" s="73">
        <f t="shared" si="3"/>
        <v>0</v>
      </c>
      <c r="I22" s="73">
        <f t="shared" si="3"/>
        <v>0</v>
      </c>
      <c r="J22" s="73">
        <f t="shared" si="3"/>
        <v>0</v>
      </c>
      <c r="K22" s="73">
        <f t="shared" si="3"/>
        <v>0</v>
      </c>
      <c r="L22" s="73">
        <f t="shared" si="3"/>
        <v>0</v>
      </c>
      <c r="M22" s="73">
        <f t="shared" si="3"/>
        <v>0</v>
      </c>
      <c r="N22" s="73">
        <f t="shared" si="3"/>
        <v>0</v>
      </c>
      <c r="O22" s="73">
        <f t="shared" si="3"/>
        <v>0</v>
      </c>
      <c r="P22" s="73">
        <f t="shared" si="3"/>
        <v>0</v>
      </c>
      <c r="Q22" s="74">
        <f t="shared" si="2"/>
        <v>137600</v>
      </c>
    </row>
    <row r="23" spans="1:17" s="342" customFormat="1" ht="18">
      <c r="A23" s="72" t="s">
        <v>19</v>
      </c>
      <c r="B23" s="73">
        <f>107350+107350+107350+137600+137600+137600+137600+137600+137600</f>
        <v>1147650</v>
      </c>
      <c r="C23" s="73">
        <v>0</v>
      </c>
      <c r="D23" s="73">
        <f>0</f>
        <v>0</v>
      </c>
      <c r="E23" s="73">
        <f>0</f>
        <v>0</v>
      </c>
      <c r="F23" s="73">
        <f>0</f>
        <v>0</v>
      </c>
      <c r="G23" s="73">
        <f>0</f>
        <v>0</v>
      </c>
      <c r="H23" s="73">
        <f>0</f>
        <v>0</v>
      </c>
      <c r="I23" s="73">
        <v>0</v>
      </c>
      <c r="J23" s="73">
        <f>0</f>
        <v>0</v>
      </c>
      <c r="K23" s="73">
        <f>0</f>
        <v>0</v>
      </c>
      <c r="L23" s="73">
        <f>0</f>
        <v>0</v>
      </c>
      <c r="M23" s="73">
        <f>0</f>
        <v>0</v>
      </c>
      <c r="N23" s="73">
        <f>0</f>
        <v>0</v>
      </c>
      <c r="O23" s="73">
        <f>0</f>
        <v>0</v>
      </c>
      <c r="P23" s="73">
        <f>0</f>
        <v>0</v>
      </c>
      <c r="Q23" s="74">
        <f t="shared" si="2"/>
        <v>1147650</v>
      </c>
    </row>
    <row r="24" spans="1:17" s="148" customFormat="1" ht="21" customHeight="1">
      <c r="A24" s="326">
        <v>522000</v>
      </c>
      <c r="B24" s="74"/>
      <c r="C24" s="328"/>
      <c r="D24" s="74"/>
      <c r="E24" s="328"/>
      <c r="F24" s="328"/>
      <c r="G24" s="328"/>
      <c r="H24" s="74"/>
      <c r="I24" s="74"/>
      <c r="J24" s="74"/>
      <c r="K24" s="324"/>
      <c r="L24" s="74"/>
      <c r="M24" s="74"/>
      <c r="N24" s="324"/>
      <c r="O24" s="324"/>
      <c r="P24" s="73"/>
      <c r="Q24" s="324"/>
    </row>
    <row r="25" spans="1:17" s="148" customFormat="1" ht="21" customHeight="1">
      <c r="A25" s="325">
        <v>220100</v>
      </c>
      <c r="B25" s="174">
        <v>116698</v>
      </c>
      <c r="C25" s="174">
        <v>49680</v>
      </c>
      <c r="D25" s="174">
        <v>0</v>
      </c>
      <c r="E25" s="174">
        <v>0</v>
      </c>
      <c r="F25" s="174">
        <v>0</v>
      </c>
      <c r="G25" s="174">
        <v>0</v>
      </c>
      <c r="H25" s="174">
        <v>0</v>
      </c>
      <c r="I25" s="174">
        <v>39970</v>
      </c>
      <c r="J25" s="174">
        <v>0</v>
      </c>
      <c r="K25" s="174">
        <v>0</v>
      </c>
      <c r="L25" s="174">
        <v>0</v>
      </c>
      <c r="M25" s="174">
        <v>0</v>
      </c>
      <c r="N25" s="174">
        <v>0</v>
      </c>
      <c r="O25" s="174">
        <v>0</v>
      </c>
      <c r="P25" s="174">
        <v>0</v>
      </c>
      <c r="Q25" s="324">
        <f aca="true" t="shared" si="4" ref="Q25:Q32">SUM(B25:P25)</f>
        <v>206348</v>
      </c>
    </row>
    <row r="26" spans="1:17" s="148" customFormat="1" ht="21" customHeight="1">
      <c r="A26" s="325">
        <v>220200</v>
      </c>
      <c r="B26" s="174">
        <v>3320</v>
      </c>
      <c r="C26" s="174">
        <v>2860</v>
      </c>
      <c r="D26" s="174">
        <v>0</v>
      </c>
      <c r="E26" s="174">
        <v>0</v>
      </c>
      <c r="F26" s="174">
        <v>0</v>
      </c>
      <c r="G26" s="174">
        <v>0</v>
      </c>
      <c r="H26" s="174">
        <v>0</v>
      </c>
      <c r="I26" s="174">
        <v>2660</v>
      </c>
      <c r="J26" s="174">
        <v>0</v>
      </c>
      <c r="K26" s="174">
        <v>0</v>
      </c>
      <c r="L26" s="174">
        <v>0</v>
      </c>
      <c r="M26" s="174">
        <v>0</v>
      </c>
      <c r="N26" s="174">
        <v>0</v>
      </c>
      <c r="O26" s="174">
        <v>0</v>
      </c>
      <c r="P26" s="174">
        <v>0</v>
      </c>
      <c r="Q26" s="324">
        <f t="shared" si="4"/>
        <v>8840</v>
      </c>
    </row>
    <row r="27" spans="1:17" s="148" customFormat="1" ht="21" customHeight="1">
      <c r="A27" s="325">
        <v>220300</v>
      </c>
      <c r="B27" s="174">
        <v>3500</v>
      </c>
      <c r="C27" s="174">
        <v>0</v>
      </c>
      <c r="D27" s="174">
        <v>0</v>
      </c>
      <c r="E27" s="174">
        <v>0</v>
      </c>
      <c r="F27" s="174">
        <v>0</v>
      </c>
      <c r="G27" s="174">
        <v>0</v>
      </c>
      <c r="H27" s="174">
        <v>0</v>
      </c>
      <c r="I27" s="174">
        <v>0</v>
      </c>
      <c r="J27" s="174">
        <v>0</v>
      </c>
      <c r="K27" s="174">
        <v>0</v>
      </c>
      <c r="L27" s="174">
        <v>0</v>
      </c>
      <c r="M27" s="174">
        <v>0</v>
      </c>
      <c r="N27" s="174">
        <v>0</v>
      </c>
      <c r="O27" s="174">
        <v>0</v>
      </c>
      <c r="P27" s="174">
        <v>0</v>
      </c>
      <c r="Q27" s="324">
        <f t="shared" si="4"/>
        <v>3500</v>
      </c>
    </row>
    <row r="28" spans="1:17" s="148" customFormat="1" ht="21" customHeight="1">
      <c r="A28" s="325">
        <v>220600</v>
      </c>
      <c r="B28" s="174">
        <f>17380+5080</f>
        <v>22460</v>
      </c>
      <c r="C28" s="174">
        <f>17100+390</f>
        <v>17490</v>
      </c>
      <c r="D28" s="174">
        <v>0</v>
      </c>
      <c r="E28" s="174">
        <v>0</v>
      </c>
      <c r="F28" s="174">
        <f>1680+7320</f>
        <v>9000</v>
      </c>
      <c r="G28" s="174">
        <v>0</v>
      </c>
      <c r="H28" s="174">
        <v>0</v>
      </c>
      <c r="I28" s="174">
        <f>11730+230+5080</f>
        <v>17040</v>
      </c>
      <c r="J28" s="174">
        <v>0</v>
      </c>
      <c r="K28" s="174">
        <v>0</v>
      </c>
      <c r="L28" s="174">
        <v>0</v>
      </c>
      <c r="M28" s="174">
        <v>0</v>
      </c>
      <c r="N28" s="174">
        <v>0</v>
      </c>
      <c r="O28" s="174">
        <v>0</v>
      </c>
      <c r="P28" s="174">
        <v>0</v>
      </c>
      <c r="Q28" s="324">
        <f t="shared" si="4"/>
        <v>65990</v>
      </c>
    </row>
    <row r="29" spans="1:17" s="148" customFormat="1" ht="21" customHeight="1">
      <c r="A29" s="325">
        <v>220700</v>
      </c>
      <c r="B29" s="174">
        <f>3000+1500</f>
        <v>4500</v>
      </c>
      <c r="C29" s="174">
        <v>3000</v>
      </c>
      <c r="D29" s="174">
        <v>0</v>
      </c>
      <c r="E29" s="174">
        <v>0</v>
      </c>
      <c r="F29" s="174">
        <v>0</v>
      </c>
      <c r="G29" s="174">
        <v>0</v>
      </c>
      <c r="H29" s="174">
        <v>0</v>
      </c>
      <c r="I29" s="174">
        <f>4670+1500</f>
        <v>6170</v>
      </c>
      <c r="J29" s="174">
        <v>0</v>
      </c>
      <c r="K29" s="174">
        <v>0</v>
      </c>
      <c r="L29" s="174">
        <v>0</v>
      </c>
      <c r="M29" s="174">
        <v>0</v>
      </c>
      <c r="N29" s="174">
        <v>0</v>
      </c>
      <c r="O29" s="174">
        <v>0</v>
      </c>
      <c r="P29" s="174">
        <v>0</v>
      </c>
      <c r="Q29" s="324">
        <f>SUM(B29:P29)</f>
        <v>13670</v>
      </c>
    </row>
    <row r="30" spans="1:17" s="148" customFormat="1" ht="21" customHeight="1">
      <c r="A30" s="325">
        <v>221100</v>
      </c>
      <c r="B30" s="174">
        <v>14500</v>
      </c>
      <c r="C30" s="174">
        <v>5421</v>
      </c>
      <c r="D30" s="174">
        <v>0</v>
      </c>
      <c r="E30" s="174">
        <v>0</v>
      </c>
      <c r="F30" s="174">
        <v>0</v>
      </c>
      <c r="G30" s="174">
        <v>0</v>
      </c>
      <c r="H30" s="174">
        <v>0</v>
      </c>
      <c r="I30" s="174">
        <v>2850</v>
      </c>
      <c r="J30" s="174">
        <v>0</v>
      </c>
      <c r="K30" s="174">
        <v>0</v>
      </c>
      <c r="L30" s="174">
        <v>0</v>
      </c>
      <c r="M30" s="174">
        <v>0</v>
      </c>
      <c r="N30" s="174">
        <v>0</v>
      </c>
      <c r="O30" s="174">
        <v>0</v>
      </c>
      <c r="P30" s="174">
        <v>0</v>
      </c>
      <c r="Q30" s="324">
        <f t="shared" si="4"/>
        <v>22771</v>
      </c>
    </row>
    <row r="31" spans="1:17" ht="18.75">
      <c r="A31" s="72" t="s">
        <v>18</v>
      </c>
      <c r="B31" s="73">
        <f aca="true" t="shared" si="5" ref="B31:P31">SUM(B25:B30)</f>
        <v>164978</v>
      </c>
      <c r="C31" s="73">
        <f t="shared" si="5"/>
        <v>78451</v>
      </c>
      <c r="D31" s="73">
        <f t="shared" si="5"/>
        <v>0</v>
      </c>
      <c r="E31" s="73">
        <f t="shared" si="5"/>
        <v>0</v>
      </c>
      <c r="F31" s="73">
        <f t="shared" si="5"/>
        <v>9000</v>
      </c>
      <c r="G31" s="73">
        <f t="shared" si="5"/>
        <v>0</v>
      </c>
      <c r="H31" s="73">
        <f t="shared" si="5"/>
        <v>0</v>
      </c>
      <c r="I31" s="73">
        <f t="shared" si="5"/>
        <v>68690</v>
      </c>
      <c r="J31" s="73">
        <f t="shared" si="5"/>
        <v>0</v>
      </c>
      <c r="K31" s="73">
        <f t="shared" si="5"/>
        <v>0</v>
      </c>
      <c r="L31" s="73">
        <f t="shared" si="5"/>
        <v>0</v>
      </c>
      <c r="M31" s="73">
        <f t="shared" si="5"/>
        <v>0</v>
      </c>
      <c r="N31" s="73">
        <f t="shared" si="5"/>
        <v>0</v>
      </c>
      <c r="O31" s="73">
        <f t="shared" si="5"/>
        <v>0</v>
      </c>
      <c r="P31" s="73">
        <f t="shared" si="5"/>
        <v>0</v>
      </c>
      <c r="Q31" s="324">
        <f t="shared" si="4"/>
        <v>321119</v>
      </c>
    </row>
    <row r="32" spans="1:17" s="79" customFormat="1" ht="18.75">
      <c r="A32" s="72" t="s">
        <v>19</v>
      </c>
      <c r="B32" s="73">
        <f>123330+123330+123330+123330+123330+134310+136840+136968+164978-6640</f>
        <v>1183106</v>
      </c>
      <c r="C32" s="73">
        <f>46663.87+52160+51770+65354+66810+66810+67560+67560+78451-3212</f>
        <v>559926.87</v>
      </c>
      <c r="D32" s="73">
        <f>0</f>
        <v>0</v>
      </c>
      <c r="E32" s="73">
        <v>0</v>
      </c>
      <c r="F32" s="73">
        <f>16960+8440+3000+6000-16400+9000</f>
        <v>27000</v>
      </c>
      <c r="G32" s="73">
        <f>0</f>
        <v>0</v>
      </c>
      <c r="H32" s="73">
        <f>0</f>
        <v>0</v>
      </c>
      <c r="I32" s="73">
        <f>64980+65440+65210+72615+73410+68315+67510+60930+68690-680</f>
        <v>606420</v>
      </c>
      <c r="J32" s="73">
        <f>0</f>
        <v>0</v>
      </c>
      <c r="K32" s="73">
        <f>0</f>
        <v>0</v>
      </c>
      <c r="L32" s="73">
        <f>0</f>
        <v>0</v>
      </c>
      <c r="M32" s="73">
        <f>0</f>
        <v>0</v>
      </c>
      <c r="N32" s="73">
        <f>0</f>
        <v>0</v>
      </c>
      <c r="O32" s="73">
        <f>0</f>
        <v>0</v>
      </c>
      <c r="P32" s="73">
        <f>0</f>
        <v>0</v>
      </c>
      <c r="Q32" s="324">
        <f t="shared" si="4"/>
        <v>2376452.87</v>
      </c>
    </row>
    <row r="33" spans="1:17" s="79" customFormat="1" ht="18.75" customHeight="1">
      <c r="A33" s="78"/>
      <c r="B33" s="75"/>
      <c r="C33" s="538" t="s">
        <v>7</v>
      </c>
      <c r="D33" s="538"/>
      <c r="E33" s="85"/>
      <c r="F33" s="85"/>
      <c r="G33" s="85"/>
      <c r="H33" s="85"/>
      <c r="I33" s="543" t="s">
        <v>98</v>
      </c>
      <c r="J33" s="543"/>
      <c r="K33" s="543"/>
      <c r="L33" s="75"/>
      <c r="M33" s="75"/>
      <c r="N33" s="75"/>
      <c r="O33" s="75"/>
      <c r="P33" s="75"/>
      <c r="Q33" s="339"/>
    </row>
    <row r="34" spans="1:17" s="79" customFormat="1" ht="21" customHeight="1">
      <c r="A34" s="78"/>
      <c r="B34" s="80"/>
      <c r="C34" s="85"/>
      <c r="D34" s="85"/>
      <c r="E34" s="85"/>
      <c r="F34" s="85"/>
      <c r="G34" s="85"/>
      <c r="H34" s="85"/>
      <c r="I34" s="85"/>
      <c r="J34" s="85"/>
      <c r="K34" s="85"/>
      <c r="L34" s="80"/>
      <c r="M34" s="80"/>
      <c r="N34" s="80"/>
      <c r="O34" s="80"/>
      <c r="P34" s="80"/>
      <c r="Q34" s="81"/>
    </row>
    <row r="35" spans="1:17" s="79" customFormat="1" ht="21" customHeight="1">
      <c r="A35" s="78"/>
      <c r="B35" s="85"/>
      <c r="C35" s="538" t="s">
        <v>115</v>
      </c>
      <c r="D35" s="538"/>
      <c r="E35" s="85"/>
      <c r="F35" s="85"/>
      <c r="G35" s="85"/>
      <c r="H35" s="85"/>
      <c r="I35" s="538" t="s">
        <v>300</v>
      </c>
      <c r="J35" s="538"/>
      <c r="K35" s="538"/>
      <c r="L35" s="80"/>
      <c r="M35" s="80"/>
      <c r="N35" s="80"/>
      <c r="O35" s="80"/>
      <c r="P35" s="80"/>
      <c r="Q35" s="81"/>
    </row>
    <row r="36" spans="1:17" s="79" customFormat="1" ht="21" customHeight="1">
      <c r="A36" s="78"/>
      <c r="B36" s="80"/>
      <c r="C36" s="538" t="s">
        <v>329</v>
      </c>
      <c r="D36" s="538"/>
      <c r="E36" s="85"/>
      <c r="F36" s="85"/>
      <c r="G36" s="85"/>
      <c r="H36" s="85"/>
      <c r="I36" s="538" t="s">
        <v>97</v>
      </c>
      <c r="J36" s="538"/>
      <c r="K36" s="538"/>
      <c r="L36" s="80"/>
      <c r="M36" s="80"/>
      <c r="N36" s="80"/>
      <c r="O36" s="80"/>
      <c r="P36" s="80"/>
      <c r="Q36" s="81"/>
    </row>
    <row r="37" spans="1:17" ht="21" customHeight="1" thickBot="1">
      <c r="A37" s="542" t="s">
        <v>20</v>
      </c>
      <c r="B37" s="542"/>
      <c r="C37" s="542"/>
      <c r="D37" s="542"/>
      <c r="E37" s="542"/>
      <c r="F37" s="542"/>
      <c r="G37" s="542"/>
      <c r="H37" s="542"/>
      <c r="I37" s="542"/>
      <c r="J37" s="542"/>
      <c r="K37" s="542"/>
      <c r="L37" s="542"/>
      <c r="M37" s="542"/>
      <c r="N37" s="542"/>
      <c r="O37" s="542"/>
      <c r="P37" s="542"/>
      <c r="Q37" s="542"/>
    </row>
    <row r="38" spans="1:17" s="62" customFormat="1" ht="21.75" customHeight="1">
      <c r="A38" s="57" t="s">
        <v>15</v>
      </c>
      <c r="B38" s="536" t="s">
        <v>79</v>
      </c>
      <c r="C38" s="537"/>
      <c r="D38" s="436" t="s">
        <v>82</v>
      </c>
      <c r="E38" s="536" t="s">
        <v>88</v>
      </c>
      <c r="F38" s="537"/>
      <c r="G38" s="58" t="s">
        <v>89</v>
      </c>
      <c r="H38" s="59" t="s">
        <v>92</v>
      </c>
      <c r="I38" s="536" t="s">
        <v>83</v>
      </c>
      <c r="J38" s="537"/>
      <c r="K38" s="60" t="s">
        <v>93</v>
      </c>
      <c r="L38" s="536" t="s">
        <v>84</v>
      </c>
      <c r="M38" s="537"/>
      <c r="N38" s="60" t="s">
        <v>96</v>
      </c>
      <c r="O38" s="60" t="s">
        <v>112</v>
      </c>
      <c r="P38" s="58" t="s">
        <v>77</v>
      </c>
      <c r="Q38" s="61" t="s">
        <v>16</v>
      </c>
    </row>
    <row r="39" spans="1:17" s="62" customFormat="1" ht="19.5" thickBot="1">
      <c r="A39" s="63" t="s">
        <v>17</v>
      </c>
      <c r="B39" s="65" t="s">
        <v>80</v>
      </c>
      <c r="C39" s="66" t="s">
        <v>81</v>
      </c>
      <c r="D39" s="64" t="s">
        <v>73</v>
      </c>
      <c r="E39" s="65" t="s">
        <v>87</v>
      </c>
      <c r="F39" s="137" t="s">
        <v>107</v>
      </c>
      <c r="G39" s="65" t="s">
        <v>90</v>
      </c>
      <c r="H39" s="68" t="s">
        <v>91</v>
      </c>
      <c r="I39" s="64" t="s">
        <v>75</v>
      </c>
      <c r="J39" s="64" t="s">
        <v>76</v>
      </c>
      <c r="K39" s="69" t="s">
        <v>289</v>
      </c>
      <c r="L39" s="66" t="s">
        <v>85</v>
      </c>
      <c r="M39" s="67" t="s">
        <v>86</v>
      </c>
      <c r="N39" s="69" t="s">
        <v>95</v>
      </c>
      <c r="O39" s="69" t="s">
        <v>113</v>
      </c>
      <c r="P39" s="64" t="s">
        <v>78</v>
      </c>
      <c r="Q39" s="70"/>
    </row>
    <row r="40" spans="1:17" s="148" customFormat="1" ht="21" customHeight="1">
      <c r="A40" s="319">
        <v>531000</v>
      </c>
      <c r="B40" s="320"/>
      <c r="C40" s="321"/>
      <c r="D40" s="322"/>
      <c r="E40" s="323"/>
      <c r="F40" s="323"/>
      <c r="G40" s="323"/>
      <c r="H40" s="322"/>
      <c r="I40" s="322"/>
      <c r="J40" s="320"/>
      <c r="K40" s="324"/>
      <c r="L40" s="322"/>
      <c r="M40" s="322"/>
      <c r="N40" s="324"/>
      <c r="O40" s="324"/>
      <c r="P40" s="320"/>
      <c r="Q40" s="324"/>
    </row>
    <row r="41" spans="1:17" s="148" customFormat="1" ht="21" customHeight="1">
      <c r="A41" s="325">
        <v>310100</v>
      </c>
      <c r="B41" s="174">
        <v>1500</v>
      </c>
      <c r="C41" s="174">
        <v>0</v>
      </c>
      <c r="D41" s="174">
        <v>0</v>
      </c>
      <c r="E41" s="174">
        <v>0</v>
      </c>
      <c r="F41" s="174">
        <v>0</v>
      </c>
      <c r="G41" s="174">
        <v>0</v>
      </c>
      <c r="H41" s="174">
        <v>0</v>
      </c>
      <c r="I41" s="174">
        <v>0</v>
      </c>
      <c r="J41" s="174">
        <v>0</v>
      </c>
      <c r="K41" s="174">
        <v>0</v>
      </c>
      <c r="L41" s="174">
        <v>0</v>
      </c>
      <c r="M41" s="174">
        <v>0</v>
      </c>
      <c r="N41" s="174">
        <v>0</v>
      </c>
      <c r="O41" s="174">
        <v>0</v>
      </c>
      <c r="P41" s="174">
        <v>0</v>
      </c>
      <c r="Q41" s="324">
        <f aca="true" t="shared" si="6" ref="Q41:Q49">SUM(B41:P41)</f>
        <v>1500</v>
      </c>
    </row>
    <row r="42" spans="1:17" s="148" customFormat="1" ht="21" customHeight="1">
      <c r="A42" s="325">
        <v>310200</v>
      </c>
      <c r="B42" s="174">
        <v>0</v>
      </c>
      <c r="C42" s="174">
        <v>0</v>
      </c>
      <c r="D42" s="174">
        <v>0</v>
      </c>
      <c r="E42" s="174">
        <v>0</v>
      </c>
      <c r="F42" s="174">
        <v>0</v>
      </c>
      <c r="G42" s="174">
        <v>0</v>
      </c>
      <c r="H42" s="174">
        <v>0</v>
      </c>
      <c r="I42" s="174">
        <v>0</v>
      </c>
      <c r="J42" s="174">
        <v>0</v>
      </c>
      <c r="K42" s="174">
        <v>0</v>
      </c>
      <c r="L42" s="174">
        <v>0</v>
      </c>
      <c r="M42" s="174">
        <v>0</v>
      </c>
      <c r="N42" s="174">
        <v>0</v>
      </c>
      <c r="O42" s="174">
        <v>0</v>
      </c>
      <c r="P42" s="174">
        <v>0</v>
      </c>
      <c r="Q42" s="324">
        <f t="shared" si="6"/>
        <v>0</v>
      </c>
    </row>
    <row r="43" spans="1:17" s="148" customFormat="1" ht="21" customHeight="1">
      <c r="A43" s="325">
        <v>310300</v>
      </c>
      <c r="B43" s="174">
        <v>0</v>
      </c>
      <c r="C43" s="174">
        <v>0</v>
      </c>
      <c r="D43" s="174">
        <v>0</v>
      </c>
      <c r="E43" s="174">
        <v>0</v>
      </c>
      <c r="F43" s="174">
        <v>0</v>
      </c>
      <c r="G43" s="174">
        <v>0</v>
      </c>
      <c r="H43" s="174">
        <v>0</v>
      </c>
      <c r="I43" s="174">
        <v>3360</v>
      </c>
      <c r="J43" s="174">
        <v>0</v>
      </c>
      <c r="K43" s="174">
        <v>0</v>
      </c>
      <c r="L43" s="174">
        <v>0</v>
      </c>
      <c r="M43" s="174">
        <v>0</v>
      </c>
      <c r="N43" s="174">
        <v>0</v>
      </c>
      <c r="O43" s="174">
        <v>0</v>
      </c>
      <c r="P43" s="174">
        <v>0</v>
      </c>
      <c r="Q43" s="324">
        <f t="shared" si="6"/>
        <v>3360</v>
      </c>
    </row>
    <row r="44" spans="1:17" s="148" customFormat="1" ht="21" customHeight="1">
      <c r="A44" s="325">
        <v>310400</v>
      </c>
      <c r="B44" s="174">
        <v>5850</v>
      </c>
      <c r="C44" s="174">
        <v>5950</v>
      </c>
      <c r="D44" s="174">
        <v>0</v>
      </c>
      <c r="E44" s="174">
        <v>0</v>
      </c>
      <c r="F44" s="174">
        <v>0</v>
      </c>
      <c r="G44" s="174">
        <v>0</v>
      </c>
      <c r="H44" s="174">
        <v>0</v>
      </c>
      <c r="I44" s="174">
        <v>1600</v>
      </c>
      <c r="J44" s="174">
        <v>0</v>
      </c>
      <c r="K44" s="174">
        <v>0</v>
      </c>
      <c r="L44" s="174">
        <v>0</v>
      </c>
      <c r="M44" s="174">
        <v>0</v>
      </c>
      <c r="N44" s="174">
        <v>0</v>
      </c>
      <c r="O44" s="174">
        <v>0</v>
      </c>
      <c r="P44" s="174">
        <v>0</v>
      </c>
      <c r="Q44" s="324">
        <f t="shared" si="6"/>
        <v>13400</v>
      </c>
    </row>
    <row r="45" spans="1:17" s="148" customFormat="1" ht="21" customHeight="1">
      <c r="A45" s="325">
        <v>310500</v>
      </c>
      <c r="B45" s="174">
        <v>0</v>
      </c>
      <c r="C45" s="174">
        <v>1937</v>
      </c>
      <c r="D45" s="174">
        <v>0</v>
      </c>
      <c r="E45" s="174">
        <v>0</v>
      </c>
      <c r="F45" s="174">
        <v>0</v>
      </c>
      <c r="G45" s="174">
        <v>0</v>
      </c>
      <c r="H45" s="174">
        <v>0</v>
      </c>
      <c r="I45" s="174">
        <v>1702</v>
      </c>
      <c r="J45" s="174">
        <v>0</v>
      </c>
      <c r="K45" s="174">
        <v>0</v>
      </c>
      <c r="L45" s="174">
        <v>0</v>
      </c>
      <c r="M45" s="174">
        <v>0</v>
      </c>
      <c r="N45" s="174">
        <v>0</v>
      </c>
      <c r="O45" s="174">
        <v>0</v>
      </c>
      <c r="P45" s="174">
        <v>0</v>
      </c>
      <c r="Q45" s="324">
        <f t="shared" si="6"/>
        <v>3639</v>
      </c>
    </row>
    <row r="46" spans="1:17" s="148" customFormat="1" ht="21" customHeight="1">
      <c r="A46" s="325">
        <v>310600</v>
      </c>
      <c r="B46" s="174">
        <v>1414</v>
      </c>
      <c r="C46" s="174">
        <v>0</v>
      </c>
      <c r="D46" s="174">
        <v>0</v>
      </c>
      <c r="E46" s="174">
        <v>0</v>
      </c>
      <c r="F46" s="174">
        <v>0</v>
      </c>
      <c r="G46" s="174">
        <v>0</v>
      </c>
      <c r="H46" s="174">
        <v>0</v>
      </c>
      <c r="I46" s="174">
        <v>25165</v>
      </c>
      <c r="J46" s="174">
        <v>0</v>
      </c>
      <c r="K46" s="174">
        <v>0</v>
      </c>
      <c r="L46" s="174">
        <v>0</v>
      </c>
      <c r="M46" s="174">
        <v>0</v>
      </c>
      <c r="N46" s="174">
        <v>0</v>
      </c>
      <c r="O46" s="174">
        <v>0</v>
      </c>
      <c r="P46" s="174">
        <v>0</v>
      </c>
      <c r="Q46" s="324">
        <f t="shared" si="6"/>
        <v>26579</v>
      </c>
    </row>
    <row r="47" spans="1:17" s="148" customFormat="1" ht="21" customHeight="1">
      <c r="A47" s="325">
        <v>310800</v>
      </c>
      <c r="B47" s="174">
        <v>0</v>
      </c>
      <c r="C47" s="174">
        <v>0</v>
      </c>
      <c r="D47" s="174">
        <v>0</v>
      </c>
      <c r="E47" s="174">
        <v>0</v>
      </c>
      <c r="F47" s="174">
        <v>0</v>
      </c>
      <c r="G47" s="174">
        <v>0</v>
      </c>
      <c r="H47" s="174">
        <v>0</v>
      </c>
      <c r="I47" s="174">
        <v>0</v>
      </c>
      <c r="J47" s="174">
        <v>0</v>
      </c>
      <c r="K47" s="174">
        <v>0</v>
      </c>
      <c r="L47" s="174">
        <v>0</v>
      </c>
      <c r="M47" s="174">
        <v>0</v>
      </c>
      <c r="N47" s="174">
        <v>0</v>
      </c>
      <c r="O47" s="174">
        <v>0</v>
      </c>
      <c r="P47" s="174">
        <v>0</v>
      </c>
      <c r="Q47" s="324">
        <f t="shared" si="6"/>
        <v>0</v>
      </c>
    </row>
    <row r="48" spans="1:17" ht="18.75">
      <c r="A48" s="72" t="s">
        <v>18</v>
      </c>
      <c r="B48" s="73">
        <f aca="true" t="shared" si="7" ref="B48:P48">SUM(B41:B47)</f>
        <v>8764</v>
      </c>
      <c r="C48" s="73">
        <f t="shared" si="7"/>
        <v>7887</v>
      </c>
      <c r="D48" s="73">
        <f t="shared" si="7"/>
        <v>0</v>
      </c>
      <c r="E48" s="73">
        <f t="shared" si="7"/>
        <v>0</v>
      </c>
      <c r="F48" s="73">
        <f t="shared" si="7"/>
        <v>0</v>
      </c>
      <c r="G48" s="73">
        <f t="shared" si="7"/>
        <v>0</v>
      </c>
      <c r="H48" s="73">
        <f t="shared" si="7"/>
        <v>0</v>
      </c>
      <c r="I48" s="73">
        <f t="shared" si="7"/>
        <v>31827</v>
      </c>
      <c r="J48" s="73">
        <f t="shared" si="7"/>
        <v>0</v>
      </c>
      <c r="K48" s="73">
        <f t="shared" si="7"/>
        <v>0</v>
      </c>
      <c r="L48" s="73">
        <f t="shared" si="7"/>
        <v>0</v>
      </c>
      <c r="M48" s="73">
        <f t="shared" si="7"/>
        <v>0</v>
      </c>
      <c r="N48" s="73">
        <f t="shared" si="7"/>
        <v>0</v>
      </c>
      <c r="O48" s="73">
        <f t="shared" si="7"/>
        <v>0</v>
      </c>
      <c r="P48" s="73">
        <f t="shared" si="7"/>
        <v>0</v>
      </c>
      <c r="Q48" s="324">
        <f t="shared" si="6"/>
        <v>48478</v>
      </c>
    </row>
    <row r="49" spans="1:17" s="79" customFormat="1" ht="18.75">
      <c r="A49" s="72" t="s">
        <v>19</v>
      </c>
      <c r="B49" s="73">
        <f>5563+9014+42660+11860+8824+7935+30797+8411+8764</f>
        <v>133828</v>
      </c>
      <c r="C49" s="73">
        <f>6457+15698+7100+8117+21927+20650+5950+7887</f>
        <v>93786</v>
      </c>
      <c r="D49" s="73">
        <f>0</f>
        <v>0</v>
      </c>
      <c r="E49" s="73">
        <f>0</f>
        <v>0</v>
      </c>
      <c r="F49" s="73">
        <f>0</f>
        <v>0</v>
      </c>
      <c r="G49" s="73">
        <f>0</f>
        <v>0</v>
      </c>
      <c r="H49" s="73">
        <f>0</f>
        <v>0</v>
      </c>
      <c r="I49" s="73">
        <f>285+46684+35860+32600+38395+21600+46068+27580+31827</f>
        <v>280899</v>
      </c>
      <c r="J49" s="73">
        <f>0</f>
        <v>0</v>
      </c>
      <c r="K49" s="73">
        <f>0</f>
        <v>0</v>
      </c>
      <c r="L49" s="73">
        <f>0</f>
        <v>0</v>
      </c>
      <c r="M49" s="73">
        <f>0</f>
        <v>0</v>
      </c>
      <c r="N49" s="73">
        <f>0</f>
        <v>0</v>
      </c>
      <c r="O49" s="73">
        <f>0</f>
        <v>0</v>
      </c>
      <c r="P49" s="73">
        <f>0</f>
        <v>0</v>
      </c>
      <c r="Q49" s="324">
        <f t="shared" si="6"/>
        <v>508513</v>
      </c>
    </row>
    <row r="50" spans="1:17" s="148" customFormat="1" ht="21" customHeight="1">
      <c r="A50" s="326">
        <v>532000</v>
      </c>
      <c r="B50" s="73"/>
      <c r="C50" s="327"/>
      <c r="D50" s="74"/>
      <c r="E50" s="328"/>
      <c r="F50" s="328"/>
      <c r="G50" s="328"/>
      <c r="H50" s="73"/>
      <c r="I50" s="74"/>
      <c r="J50" s="73"/>
      <c r="K50" s="324"/>
      <c r="L50" s="74"/>
      <c r="M50" s="74"/>
      <c r="N50" s="324"/>
      <c r="O50" s="324"/>
      <c r="P50" s="73"/>
      <c r="Q50" s="324"/>
    </row>
    <row r="51" spans="1:17" s="148" customFormat="1" ht="21" customHeight="1">
      <c r="A51" s="325">
        <v>320100</v>
      </c>
      <c r="B51" s="174">
        <f>3100+4500+5700+5700</f>
        <v>19000</v>
      </c>
      <c r="C51" s="174">
        <v>0</v>
      </c>
      <c r="D51" s="174">
        <v>0</v>
      </c>
      <c r="E51" s="174">
        <v>0</v>
      </c>
      <c r="F51" s="174">
        <v>0</v>
      </c>
      <c r="G51" s="174">
        <v>5700</v>
      </c>
      <c r="H51" s="174">
        <v>0</v>
      </c>
      <c r="I51" s="174">
        <v>5500</v>
      </c>
      <c r="J51" s="174">
        <v>0</v>
      </c>
      <c r="K51" s="174">
        <v>0</v>
      </c>
      <c r="L51" s="174">
        <v>0</v>
      </c>
      <c r="M51" s="174">
        <v>0</v>
      </c>
      <c r="N51" s="174">
        <v>0</v>
      </c>
      <c r="O51" s="174">
        <v>0</v>
      </c>
      <c r="P51" s="174">
        <v>0</v>
      </c>
      <c r="Q51" s="324">
        <f aca="true" t="shared" si="8" ref="Q51:Q57">SUM(B51:P51)</f>
        <v>30200</v>
      </c>
    </row>
    <row r="52" spans="1:17" s="148" customFormat="1" ht="21" customHeight="1">
      <c r="A52" s="325">
        <v>320200</v>
      </c>
      <c r="B52" s="174">
        <v>0</v>
      </c>
      <c r="C52" s="174">
        <v>0</v>
      </c>
      <c r="D52" s="174">
        <v>0</v>
      </c>
      <c r="E52" s="174">
        <v>0</v>
      </c>
      <c r="F52" s="174">
        <v>0</v>
      </c>
      <c r="G52" s="174">
        <v>0</v>
      </c>
      <c r="H52" s="174">
        <v>0</v>
      </c>
      <c r="I52" s="174">
        <v>0</v>
      </c>
      <c r="J52" s="174">
        <v>0</v>
      </c>
      <c r="K52" s="174">
        <v>0</v>
      </c>
      <c r="L52" s="174">
        <v>0</v>
      </c>
      <c r="M52" s="174">
        <v>0</v>
      </c>
      <c r="N52" s="174">
        <v>0</v>
      </c>
      <c r="O52" s="174">
        <v>0</v>
      </c>
      <c r="P52" s="174">
        <v>0</v>
      </c>
      <c r="Q52" s="324">
        <f t="shared" si="8"/>
        <v>0</v>
      </c>
    </row>
    <row r="53" spans="1:17" s="148" customFormat="1" ht="21" customHeight="1">
      <c r="A53" s="325">
        <v>320300</v>
      </c>
      <c r="B53" s="174">
        <v>16388</v>
      </c>
      <c r="C53" s="174">
        <v>25652</v>
      </c>
      <c r="D53" s="174">
        <v>2800</v>
      </c>
      <c r="E53" s="174">
        <v>0</v>
      </c>
      <c r="F53" s="174">
        <v>313040</v>
      </c>
      <c r="G53" s="174">
        <v>0</v>
      </c>
      <c r="H53" s="174">
        <v>0</v>
      </c>
      <c r="I53" s="174">
        <v>0</v>
      </c>
      <c r="J53" s="174">
        <v>0</v>
      </c>
      <c r="K53" s="174">
        <v>0</v>
      </c>
      <c r="L53" s="174">
        <v>0</v>
      </c>
      <c r="M53" s="174">
        <v>0</v>
      </c>
      <c r="N53" s="174">
        <v>0</v>
      </c>
      <c r="O53" s="174">
        <v>0</v>
      </c>
      <c r="P53" s="174">
        <v>0</v>
      </c>
      <c r="Q53" s="324">
        <f t="shared" si="8"/>
        <v>357880</v>
      </c>
    </row>
    <row r="54" spans="1:17" s="148" customFormat="1" ht="21" customHeight="1">
      <c r="A54" s="325">
        <v>320400</v>
      </c>
      <c r="B54" s="174">
        <v>0</v>
      </c>
      <c r="C54" s="174">
        <v>0</v>
      </c>
      <c r="D54" s="174">
        <v>0</v>
      </c>
      <c r="E54" s="174">
        <v>0</v>
      </c>
      <c r="F54" s="174">
        <v>0</v>
      </c>
      <c r="G54" s="174">
        <v>0</v>
      </c>
      <c r="H54" s="174">
        <v>0</v>
      </c>
      <c r="I54" s="174">
        <v>0</v>
      </c>
      <c r="J54" s="174">
        <v>0</v>
      </c>
      <c r="K54" s="174">
        <v>0</v>
      </c>
      <c r="L54" s="174">
        <v>0</v>
      </c>
      <c r="M54" s="174">
        <v>0</v>
      </c>
      <c r="N54" s="174">
        <v>0</v>
      </c>
      <c r="O54" s="174">
        <v>0</v>
      </c>
      <c r="P54" s="174">
        <v>0</v>
      </c>
      <c r="Q54" s="324">
        <f t="shared" si="8"/>
        <v>0</v>
      </c>
    </row>
    <row r="55" spans="1:17" s="148" customFormat="1" ht="21" customHeight="1">
      <c r="A55" s="325">
        <v>320500</v>
      </c>
      <c r="B55" s="174">
        <v>0</v>
      </c>
      <c r="C55" s="174">
        <v>0</v>
      </c>
      <c r="D55" s="174">
        <v>0</v>
      </c>
      <c r="E55" s="174">
        <v>0</v>
      </c>
      <c r="F55" s="174">
        <v>0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74">
        <v>0</v>
      </c>
      <c r="M55" s="174">
        <v>0</v>
      </c>
      <c r="N55" s="174">
        <v>0</v>
      </c>
      <c r="O55" s="174">
        <v>0</v>
      </c>
      <c r="P55" s="174">
        <v>0</v>
      </c>
      <c r="Q55" s="324">
        <f t="shared" si="8"/>
        <v>0</v>
      </c>
    </row>
    <row r="56" spans="1:17" ht="18.75">
      <c r="A56" s="72" t="s">
        <v>18</v>
      </c>
      <c r="B56" s="73">
        <f aca="true" t="shared" si="9" ref="B56:P56">SUM(B51:B55)</f>
        <v>35388</v>
      </c>
      <c r="C56" s="73">
        <f t="shared" si="9"/>
        <v>25652</v>
      </c>
      <c r="D56" s="73">
        <f t="shared" si="9"/>
        <v>2800</v>
      </c>
      <c r="E56" s="73">
        <f t="shared" si="9"/>
        <v>0</v>
      </c>
      <c r="F56" s="73">
        <f t="shared" si="9"/>
        <v>313040</v>
      </c>
      <c r="G56" s="73">
        <f t="shared" si="9"/>
        <v>5700</v>
      </c>
      <c r="H56" s="73">
        <f t="shared" si="9"/>
        <v>0</v>
      </c>
      <c r="I56" s="73">
        <f t="shared" si="9"/>
        <v>5500</v>
      </c>
      <c r="J56" s="73">
        <f t="shared" si="9"/>
        <v>0</v>
      </c>
      <c r="K56" s="73">
        <f t="shared" si="9"/>
        <v>0</v>
      </c>
      <c r="L56" s="73">
        <f t="shared" si="9"/>
        <v>0</v>
      </c>
      <c r="M56" s="73">
        <f t="shared" si="9"/>
        <v>0</v>
      </c>
      <c r="N56" s="73">
        <f t="shared" si="9"/>
        <v>0</v>
      </c>
      <c r="O56" s="73">
        <f t="shared" si="9"/>
        <v>0</v>
      </c>
      <c r="P56" s="73">
        <f t="shared" si="9"/>
        <v>0</v>
      </c>
      <c r="Q56" s="324">
        <f t="shared" si="8"/>
        <v>388080</v>
      </c>
    </row>
    <row r="57" spans="1:17" s="79" customFormat="1" ht="18.75">
      <c r="A57" s="329" t="s">
        <v>19</v>
      </c>
      <c r="B57" s="73">
        <f>13800+52995+62150.49+37066+37698+165556+60732+61758-5700+35388</f>
        <v>521443.49</v>
      </c>
      <c r="C57" s="73">
        <f>3300+3480+9050+3400+3900+5740+25500+25652</f>
        <v>80022</v>
      </c>
      <c r="D57" s="73">
        <f>2000+2800</f>
        <v>4800</v>
      </c>
      <c r="E57" s="73">
        <v>0</v>
      </c>
      <c r="F57" s="73">
        <f>313040+37000+313040</f>
        <v>663080</v>
      </c>
      <c r="G57" s="73">
        <f>5700+5700+5700+5700+5700+5700+5700+5700</f>
        <v>45600</v>
      </c>
      <c r="H57" s="73">
        <v>0</v>
      </c>
      <c r="I57" s="73">
        <f>1500+2298+2310+280+19302+5900+12813+2110+5500</f>
        <v>52013</v>
      </c>
      <c r="J57" s="73">
        <f>0</f>
        <v>0</v>
      </c>
      <c r="K57" s="73">
        <v>15975</v>
      </c>
      <c r="L57" s="73">
        <v>18550</v>
      </c>
      <c r="M57" s="73">
        <v>0</v>
      </c>
      <c r="N57" s="73">
        <v>0</v>
      </c>
      <c r="O57" s="73">
        <v>0</v>
      </c>
      <c r="P57" s="73">
        <f>0</f>
        <v>0</v>
      </c>
      <c r="Q57" s="324">
        <f t="shared" si="8"/>
        <v>1401483.49</v>
      </c>
    </row>
    <row r="58" spans="1:17" s="76" customFormat="1" ht="21" customHeight="1">
      <c r="A58" s="78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82"/>
    </row>
    <row r="59" spans="1:17" s="76" customFormat="1" ht="21" customHeight="1">
      <c r="A59" s="78"/>
      <c r="B59" s="75"/>
      <c r="C59" s="538" t="s">
        <v>7</v>
      </c>
      <c r="D59" s="538"/>
      <c r="E59" s="85"/>
      <c r="F59" s="85"/>
      <c r="G59" s="85"/>
      <c r="H59" s="85"/>
      <c r="I59" s="538" t="s">
        <v>98</v>
      </c>
      <c r="J59" s="538"/>
      <c r="K59" s="538"/>
      <c r="L59" s="80"/>
      <c r="M59" s="80"/>
      <c r="N59" s="75"/>
      <c r="O59" s="75"/>
      <c r="P59" s="75"/>
      <c r="Q59" s="82"/>
    </row>
    <row r="60" spans="1:17" s="76" customFormat="1" ht="21" customHeight="1">
      <c r="A60" s="78"/>
      <c r="B60" s="75"/>
      <c r="C60" s="85"/>
      <c r="D60" s="85"/>
      <c r="E60" s="85"/>
      <c r="F60" s="85"/>
      <c r="G60" s="85"/>
      <c r="H60" s="75"/>
      <c r="I60" s="85"/>
      <c r="J60" s="85"/>
      <c r="K60" s="85"/>
      <c r="L60" s="80"/>
      <c r="M60" s="80"/>
      <c r="N60" s="75"/>
      <c r="O60" s="75"/>
      <c r="P60" s="75"/>
      <c r="Q60" s="82"/>
    </row>
    <row r="61" spans="1:17" s="76" customFormat="1" ht="21" customHeight="1">
      <c r="A61" s="78"/>
      <c r="B61" s="75"/>
      <c r="C61" s="85"/>
      <c r="D61" s="85"/>
      <c r="E61" s="85"/>
      <c r="F61" s="85"/>
      <c r="G61" s="85"/>
      <c r="H61" s="75"/>
      <c r="I61" s="85"/>
      <c r="J61" s="75"/>
      <c r="K61" s="75"/>
      <c r="L61" s="80"/>
      <c r="M61" s="80"/>
      <c r="N61" s="75"/>
      <c r="O61" s="75"/>
      <c r="P61" s="75"/>
      <c r="Q61" s="82"/>
    </row>
    <row r="62" spans="1:17" s="76" customFormat="1" ht="21" customHeight="1">
      <c r="A62" s="78"/>
      <c r="B62" s="75"/>
      <c r="C62" s="538" t="s">
        <v>116</v>
      </c>
      <c r="D62" s="538"/>
      <c r="E62" s="75"/>
      <c r="F62" s="75"/>
      <c r="G62" s="75"/>
      <c r="H62" s="75"/>
      <c r="I62" s="538" t="s">
        <v>300</v>
      </c>
      <c r="J62" s="538"/>
      <c r="K62" s="538"/>
      <c r="L62" s="80"/>
      <c r="M62" s="80"/>
      <c r="N62" s="75"/>
      <c r="O62" s="75"/>
      <c r="P62" s="75"/>
      <c r="Q62" s="82"/>
    </row>
    <row r="63" spans="1:17" s="76" customFormat="1" ht="21" customHeight="1">
      <c r="A63" s="78"/>
      <c r="B63" s="75"/>
      <c r="C63" s="538" t="s">
        <v>329</v>
      </c>
      <c r="D63" s="538"/>
      <c r="E63" s="85"/>
      <c r="F63" s="85"/>
      <c r="G63" s="85"/>
      <c r="H63" s="85"/>
      <c r="I63" s="538" t="s">
        <v>97</v>
      </c>
      <c r="J63" s="538"/>
      <c r="K63" s="538"/>
      <c r="L63" s="80"/>
      <c r="M63" s="80"/>
      <c r="N63" s="75"/>
      <c r="O63" s="75"/>
      <c r="P63" s="75"/>
      <c r="Q63" s="82"/>
    </row>
    <row r="64" spans="1:17" s="76" customFormat="1" ht="21" customHeight="1">
      <c r="A64" s="78"/>
      <c r="B64" s="75"/>
      <c r="C64" s="538"/>
      <c r="D64" s="538"/>
      <c r="E64" s="85"/>
      <c r="F64" s="85"/>
      <c r="G64" s="85"/>
      <c r="H64" s="85"/>
      <c r="I64" s="538"/>
      <c r="J64" s="538"/>
      <c r="K64" s="538"/>
      <c r="L64" s="80"/>
      <c r="M64" s="80"/>
      <c r="N64" s="75"/>
      <c r="O64" s="75"/>
      <c r="P64" s="75"/>
      <c r="Q64" s="82"/>
    </row>
    <row r="65" spans="1:17" s="76" customFormat="1" ht="21" customHeight="1">
      <c r="A65" s="78"/>
      <c r="B65" s="75"/>
      <c r="C65" s="85"/>
      <c r="D65" s="85"/>
      <c r="E65" s="85"/>
      <c r="F65" s="85"/>
      <c r="G65" s="85"/>
      <c r="H65" s="85"/>
      <c r="I65" s="80"/>
      <c r="J65" s="80"/>
      <c r="K65" s="75"/>
      <c r="L65" s="80"/>
      <c r="M65" s="80"/>
      <c r="N65" s="75"/>
      <c r="O65" s="75"/>
      <c r="P65" s="75"/>
      <c r="Q65" s="82"/>
    </row>
    <row r="66" spans="1:17" s="76" customFormat="1" ht="18.75">
      <c r="A66" s="78"/>
      <c r="B66" s="75"/>
      <c r="C66" s="85"/>
      <c r="D66" s="85"/>
      <c r="E66" s="85"/>
      <c r="F66" s="85"/>
      <c r="G66" s="85"/>
      <c r="H66" s="85"/>
      <c r="I66" s="80"/>
      <c r="J66" s="80"/>
      <c r="K66" s="75"/>
      <c r="L66" s="80"/>
      <c r="M66" s="80"/>
      <c r="N66" s="75"/>
      <c r="O66" s="75"/>
      <c r="P66" s="75"/>
      <c r="Q66" s="82"/>
    </row>
    <row r="67" spans="1:17" s="76" customFormat="1" ht="18.75">
      <c r="A67" s="78"/>
      <c r="B67" s="75"/>
      <c r="C67" s="85"/>
      <c r="D67" s="85"/>
      <c r="E67" s="85"/>
      <c r="F67" s="85"/>
      <c r="G67" s="85"/>
      <c r="H67" s="85"/>
      <c r="I67" s="80"/>
      <c r="J67" s="80"/>
      <c r="K67" s="75"/>
      <c r="L67" s="80"/>
      <c r="M67" s="80"/>
      <c r="N67" s="75"/>
      <c r="O67" s="75"/>
      <c r="P67" s="75"/>
      <c r="Q67" s="82"/>
    </row>
    <row r="68" spans="1:17" s="76" customFormat="1" ht="18.75">
      <c r="A68" s="78"/>
      <c r="B68" s="75"/>
      <c r="C68" s="85"/>
      <c r="D68" s="85"/>
      <c r="E68" s="85"/>
      <c r="F68" s="85"/>
      <c r="G68" s="85"/>
      <c r="H68" s="85"/>
      <c r="I68" s="80"/>
      <c r="J68" s="80"/>
      <c r="K68" s="75"/>
      <c r="L68" s="80"/>
      <c r="M68" s="80"/>
      <c r="N68" s="75"/>
      <c r="O68" s="75"/>
      <c r="P68" s="75"/>
      <c r="Q68" s="82"/>
    </row>
    <row r="69" spans="1:17" s="76" customFormat="1" ht="18.75">
      <c r="A69" s="78"/>
      <c r="B69" s="75"/>
      <c r="C69" s="85"/>
      <c r="D69" s="85"/>
      <c r="E69" s="85"/>
      <c r="F69" s="85"/>
      <c r="G69" s="85"/>
      <c r="H69" s="85"/>
      <c r="I69" s="80"/>
      <c r="J69" s="80"/>
      <c r="K69" s="75"/>
      <c r="L69" s="80"/>
      <c r="M69" s="80"/>
      <c r="N69" s="75"/>
      <c r="O69" s="75"/>
      <c r="P69" s="75"/>
      <c r="Q69" s="82"/>
    </row>
    <row r="70" spans="1:17" s="76" customFormat="1" ht="18.75">
      <c r="A70" s="78"/>
      <c r="B70" s="75"/>
      <c r="C70" s="85"/>
      <c r="D70" s="85"/>
      <c r="E70" s="85"/>
      <c r="F70" s="85"/>
      <c r="G70" s="85"/>
      <c r="H70" s="85"/>
      <c r="I70" s="80"/>
      <c r="J70" s="80"/>
      <c r="K70" s="75"/>
      <c r="L70" s="80"/>
      <c r="M70" s="80"/>
      <c r="N70" s="75"/>
      <c r="O70" s="75"/>
      <c r="P70" s="75"/>
      <c r="Q70" s="82"/>
    </row>
    <row r="71" spans="1:17" s="76" customFormat="1" ht="18.75">
      <c r="A71" s="78"/>
      <c r="B71" s="75"/>
      <c r="C71" s="85"/>
      <c r="D71" s="85"/>
      <c r="E71" s="85"/>
      <c r="F71" s="85"/>
      <c r="G71" s="85"/>
      <c r="H71" s="85"/>
      <c r="I71" s="80"/>
      <c r="J71" s="80"/>
      <c r="K71" s="75"/>
      <c r="L71" s="80"/>
      <c r="M71" s="80"/>
      <c r="N71" s="75"/>
      <c r="O71" s="75"/>
      <c r="P71" s="75"/>
      <c r="Q71" s="82"/>
    </row>
    <row r="72" spans="1:17" s="76" customFormat="1" ht="18.75">
      <c r="A72" s="78"/>
      <c r="B72" s="75"/>
      <c r="C72" s="85"/>
      <c r="D72" s="85"/>
      <c r="E72" s="85"/>
      <c r="F72" s="85"/>
      <c r="G72" s="85"/>
      <c r="H72" s="85"/>
      <c r="I72" s="80"/>
      <c r="J72" s="80"/>
      <c r="K72" s="75"/>
      <c r="L72" s="80"/>
      <c r="M72" s="80"/>
      <c r="N72" s="75"/>
      <c r="O72" s="75"/>
      <c r="P72" s="75"/>
      <c r="Q72" s="82"/>
    </row>
    <row r="73" spans="1:17" ht="21" customHeight="1" thickBot="1">
      <c r="A73" s="539" t="s">
        <v>69</v>
      </c>
      <c r="B73" s="539"/>
      <c r="C73" s="539"/>
      <c r="D73" s="539"/>
      <c r="E73" s="539"/>
      <c r="F73" s="539"/>
      <c r="G73" s="539"/>
      <c r="H73" s="539"/>
      <c r="I73" s="539"/>
      <c r="J73" s="539"/>
      <c r="K73" s="539"/>
      <c r="L73" s="539"/>
      <c r="M73" s="539"/>
      <c r="N73" s="539"/>
      <c r="O73" s="539"/>
      <c r="P73" s="539"/>
      <c r="Q73" s="539"/>
    </row>
    <row r="74" spans="1:17" s="62" customFormat="1" ht="21.75" customHeight="1">
      <c r="A74" s="57" t="s">
        <v>15</v>
      </c>
      <c r="B74" s="536" t="s">
        <v>79</v>
      </c>
      <c r="C74" s="537"/>
      <c r="D74" s="436" t="s">
        <v>82</v>
      </c>
      <c r="E74" s="536" t="s">
        <v>88</v>
      </c>
      <c r="F74" s="537"/>
      <c r="G74" s="58" t="s">
        <v>89</v>
      </c>
      <c r="H74" s="59" t="s">
        <v>92</v>
      </c>
      <c r="I74" s="536" t="s">
        <v>83</v>
      </c>
      <c r="J74" s="537"/>
      <c r="K74" s="60" t="s">
        <v>93</v>
      </c>
      <c r="L74" s="536" t="s">
        <v>84</v>
      </c>
      <c r="M74" s="537"/>
      <c r="N74" s="60" t="s">
        <v>96</v>
      </c>
      <c r="O74" s="60" t="s">
        <v>112</v>
      </c>
      <c r="P74" s="58" t="s">
        <v>77</v>
      </c>
      <c r="Q74" s="61" t="s">
        <v>16</v>
      </c>
    </row>
    <row r="75" spans="1:17" s="62" customFormat="1" ht="19.5" thickBot="1">
      <c r="A75" s="63" t="s">
        <v>17</v>
      </c>
      <c r="B75" s="65" t="s">
        <v>80</v>
      </c>
      <c r="C75" s="66" t="s">
        <v>81</v>
      </c>
      <c r="D75" s="64" t="s">
        <v>73</v>
      </c>
      <c r="E75" s="65" t="s">
        <v>87</v>
      </c>
      <c r="F75" s="137" t="s">
        <v>107</v>
      </c>
      <c r="G75" s="65" t="s">
        <v>90</v>
      </c>
      <c r="H75" s="68" t="s">
        <v>91</v>
      </c>
      <c r="I75" s="64" t="s">
        <v>75</v>
      </c>
      <c r="J75" s="64" t="s">
        <v>76</v>
      </c>
      <c r="K75" s="69" t="s">
        <v>289</v>
      </c>
      <c r="L75" s="66" t="s">
        <v>129</v>
      </c>
      <c r="M75" s="67" t="s">
        <v>85</v>
      </c>
      <c r="N75" s="69" t="s">
        <v>95</v>
      </c>
      <c r="O75" s="69" t="s">
        <v>113</v>
      </c>
      <c r="P75" s="64" t="s">
        <v>78</v>
      </c>
      <c r="Q75" s="70"/>
    </row>
    <row r="76" spans="1:17" s="148" customFormat="1" ht="21" customHeight="1">
      <c r="A76" s="326">
        <v>533000</v>
      </c>
      <c r="B76" s="321"/>
      <c r="C76" s="322"/>
      <c r="D76" s="73"/>
      <c r="E76" s="324"/>
      <c r="F76" s="324"/>
      <c r="G76" s="330"/>
      <c r="H76" s="320"/>
      <c r="I76" s="323"/>
      <c r="J76" s="73"/>
      <c r="K76" s="324"/>
      <c r="L76" s="73"/>
      <c r="M76" s="73"/>
      <c r="N76" s="324"/>
      <c r="O76" s="320"/>
      <c r="P76" s="73"/>
      <c r="Q76" s="324"/>
    </row>
    <row r="77" spans="1:17" s="148" customFormat="1" ht="21" customHeight="1">
      <c r="A77" s="331">
        <v>330100</v>
      </c>
      <c r="B77" s="174">
        <v>21774.9</v>
      </c>
      <c r="C77" s="174">
        <v>17113</v>
      </c>
      <c r="D77" s="174">
        <v>0</v>
      </c>
      <c r="E77" s="174">
        <v>0</v>
      </c>
      <c r="F77" s="174">
        <v>0</v>
      </c>
      <c r="G77" s="174">
        <v>0</v>
      </c>
      <c r="H77" s="174">
        <v>0</v>
      </c>
      <c r="I77" s="174">
        <v>8805</v>
      </c>
      <c r="J77" s="174">
        <v>0</v>
      </c>
      <c r="K77" s="174">
        <v>0</v>
      </c>
      <c r="L77" s="174">
        <v>0</v>
      </c>
      <c r="M77" s="174">
        <v>0</v>
      </c>
      <c r="N77" s="174">
        <v>0</v>
      </c>
      <c r="O77" s="174">
        <v>0</v>
      </c>
      <c r="P77" s="174">
        <v>0</v>
      </c>
      <c r="Q77" s="324">
        <f aca="true" t="shared" si="10" ref="Q77:Q91">SUM(B77:P77)</f>
        <v>47692.9</v>
      </c>
    </row>
    <row r="78" spans="1:17" s="148" customFormat="1" ht="21" customHeight="1">
      <c r="A78" s="331">
        <v>330200</v>
      </c>
      <c r="B78" s="174">
        <v>0</v>
      </c>
      <c r="C78" s="174">
        <v>0</v>
      </c>
      <c r="D78" s="174">
        <v>0</v>
      </c>
      <c r="E78" s="174">
        <v>0</v>
      </c>
      <c r="F78" s="174">
        <v>0</v>
      </c>
      <c r="G78" s="174">
        <v>0</v>
      </c>
      <c r="H78" s="174">
        <v>0</v>
      </c>
      <c r="I78" s="174">
        <v>11380</v>
      </c>
      <c r="J78" s="174">
        <v>0</v>
      </c>
      <c r="K78" s="174">
        <v>0</v>
      </c>
      <c r="L78" s="174">
        <v>0</v>
      </c>
      <c r="M78" s="174">
        <v>0</v>
      </c>
      <c r="N78" s="174">
        <v>0</v>
      </c>
      <c r="O78" s="174">
        <v>0</v>
      </c>
      <c r="P78" s="174">
        <v>0</v>
      </c>
      <c r="Q78" s="324">
        <f t="shared" si="10"/>
        <v>11380</v>
      </c>
    </row>
    <row r="79" spans="1:17" s="148" customFormat="1" ht="21" customHeight="1">
      <c r="A79" s="325">
        <v>330300</v>
      </c>
      <c r="B79" s="174">
        <v>4506</v>
      </c>
      <c r="C79" s="174">
        <v>0</v>
      </c>
      <c r="D79" s="174">
        <v>0</v>
      </c>
      <c r="E79" s="174">
        <v>0</v>
      </c>
      <c r="F79" s="174">
        <v>0</v>
      </c>
      <c r="G79" s="174">
        <v>0</v>
      </c>
      <c r="H79" s="174">
        <v>0</v>
      </c>
      <c r="I79" s="174">
        <v>0</v>
      </c>
      <c r="J79" s="174">
        <v>0</v>
      </c>
      <c r="K79" s="174">
        <v>0</v>
      </c>
      <c r="L79" s="174">
        <v>0</v>
      </c>
      <c r="M79" s="174">
        <v>0</v>
      </c>
      <c r="N79" s="174">
        <v>0</v>
      </c>
      <c r="O79" s="174">
        <v>0</v>
      </c>
      <c r="P79" s="174">
        <v>0</v>
      </c>
      <c r="Q79" s="324">
        <f t="shared" si="10"/>
        <v>4506</v>
      </c>
    </row>
    <row r="80" spans="1:17" s="148" customFormat="1" ht="21" customHeight="1">
      <c r="A80" s="325">
        <v>330600</v>
      </c>
      <c r="B80" s="174">
        <v>0</v>
      </c>
      <c r="C80" s="174">
        <v>0</v>
      </c>
      <c r="D80" s="174">
        <v>0</v>
      </c>
      <c r="E80" s="174">
        <v>0</v>
      </c>
      <c r="F80" s="174">
        <v>0</v>
      </c>
      <c r="G80" s="174">
        <v>0</v>
      </c>
      <c r="H80" s="174">
        <v>0</v>
      </c>
      <c r="I80" s="174">
        <v>0</v>
      </c>
      <c r="J80" s="174">
        <v>0</v>
      </c>
      <c r="K80" s="174">
        <v>0</v>
      </c>
      <c r="L80" s="174">
        <v>0</v>
      </c>
      <c r="M80" s="174">
        <v>0</v>
      </c>
      <c r="N80" s="174">
        <v>0</v>
      </c>
      <c r="O80" s="174">
        <v>26972</v>
      </c>
      <c r="P80" s="174">
        <v>0</v>
      </c>
      <c r="Q80" s="324">
        <f t="shared" si="10"/>
        <v>26972</v>
      </c>
    </row>
    <row r="81" spans="1:17" s="148" customFormat="1" ht="21" customHeight="1">
      <c r="A81" s="325">
        <v>330700</v>
      </c>
      <c r="B81" s="174">
        <v>0</v>
      </c>
      <c r="C81" s="174">
        <v>0</v>
      </c>
      <c r="D81" s="174">
        <v>0</v>
      </c>
      <c r="E81" s="174">
        <v>0</v>
      </c>
      <c r="F81" s="174">
        <v>0</v>
      </c>
      <c r="G81" s="174">
        <v>0</v>
      </c>
      <c r="H81" s="174">
        <v>0</v>
      </c>
      <c r="I81" s="174">
        <v>0</v>
      </c>
      <c r="J81" s="174">
        <v>0</v>
      </c>
      <c r="K81" s="174">
        <v>0</v>
      </c>
      <c r="L81" s="174">
        <v>0</v>
      </c>
      <c r="M81" s="174">
        <v>0</v>
      </c>
      <c r="N81" s="174">
        <v>0</v>
      </c>
      <c r="O81" s="174">
        <v>0</v>
      </c>
      <c r="P81" s="174">
        <v>0</v>
      </c>
      <c r="Q81" s="324">
        <f t="shared" si="10"/>
        <v>0</v>
      </c>
    </row>
    <row r="82" spans="1:17" s="148" customFormat="1" ht="21" customHeight="1">
      <c r="A82" s="325">
        <v>330800</v>
      </c>
      <c r="B82" s="174">
        <v>20800</v>
      </c>
      <c r="C82" s="174">
        <v>0</v>
      </c>
      <c r="D82" s="174">
        <v>0</v>
      </c>
      <c r="E82" s="174">
        <v>0</v>
      </c>
      <c r="F82" s="174">
        <v>0</v>
      </c>
      <c r="G82" s="174">
        <v>0</v>
      </c>
      <c r="H82" s="174">
        <v>0</v>
      </c>
      <c r="I82" s="174">
        <v>0</v>
      </c>
      <c r="J82" s="174">
        <v>0</v>
      </c>
      <c r="K82" s="174">
        <v>0</v>
      </c>
      <c r="L82" s="174">
        <v>0</v>
      </c>
      <c r="M82" s="174">
        <v>0</v>
      </c>
      <c r="N82" s="174">
        <v>0</v>
      </c>
      <c r="O82" s="174">
        <v>0</v>
      </c>
      <c r="P82" s="174">
        <v>0</v>
      </c>
      <c r="Q82" s="324">
        <f t="shared" si="10"/>
        <v>20800</v>
      </c>
    </row>
    <row r="83" spans="1:17" s="148" customFormat="1" ht="21" customHeight="1">
      <c r="A83" s="325">
        <v>330900</v>
      </c>
      <c r="B83" s="174">
        <v>0</v>
      </c>
      <c r="C83" s="174">
        <v>0</v>
      </c>
      <c r="D83" s="174">
        <v>0</v>
      </c>
      <c r="E83" s="174">
        <v>0</v>
      </c>
      <c r="F83" s="174">
        <v>0</v>
      </c>
      <c r="G83" s="174">
        <v>0</v>
      </c>
      <c r="H83" s="174">
        <v>0</v>
      </c>
      <c r="I83" s="174">
        <v>0</v>
      </c>
      <c r="J83" s="174">
        <v>0</v>
      </c>
      <c r="K83" s="174">
        <v>0</v>
      </c>
      <c r="L83" s="174">
        <v>0</v>
      </c>
      <c r="M83" s="174">
        <v>0</v>
      </c>
      <c r="N83" s="174">
        <v>0</v>
      </c>
      <c r="O83" s="174">
        <v>0</v>
      </c>
      <c r="P83" s="174">
        <v>0</v>
      </c>
      <c r="Q83" s="324">
        <f t="shared" si="10"/>
        <v>0</v>
      </c>
    </row>
    <row r="84" spans="1:17" s="148" customFormat="1" ht="21" customHeight="1">
      <c r="A84" s="325">
        <v>331000</v>
      </c>
      <c r="B84" s="174">
        <v>0</v>
      </c>
      <c r="C84" s="174">
        <v>0</v>
      </c>
      <c r="D84" s="174">
        <v>0</v>
      </c>
      <c r="E84" s="174">
        <v>0</v>
      </c>
      <c r="F84" s="174">
        <v>0</v>
      </c>
      <c r="G84" s="174">
        <v>0</v>
      </c>
      <c r="H84" s="174">
        <v>0</v>
      </c>
      <c r="I84" s="174">
        <v>0</v>
      </c>
      <c r="J84" s="174">
        <v>0</v>
      </c>
      <c r="K84" s="174">
        <v>0</v>
      </c>
      <c r="L84" s="174">
        <v>0</v>
      </c>
      <c r="M84" s="174">
        <v>0</v>
      </c>
      <c r="N84" s="174">
        <v>0</v>
      </c>
      <c r="O84" s="174">
        <v>0</v>
      </c>
      <c r="P84" s="174">
        <v>0</v>
      </c>
      <c r="Q84" s="324">
        <f t="shared" si="10"/>
        <v>0</v>
      </c>
    </row>
    <row r="85" spans="1:17" s="148" customFormat="1" ht="21" customHeight="1">
      <c r="A85" s="325">
        <v>331100</v>
      </c>
      <c r="B85" s="174">
        <v>0</v>
      </c>
      <c r="C85" s="174">
        <v>0</v>
      </c>
      <c r="D85" s="174">
        <v>0</v>
      </c>
      <c r="E85" s="174">
        <v>0</v>
      </c>
      <c r="F85" s="174">
        <v>0</v>
      </c>
      <c r="G85" s="174">
        <v>0</v>
      </c>
      <c r="H85" s="174">
        <v>0</v>
      </c>
      <c r="I85" s="174">
        <v>0</v>
      </c>
      <c r="J85" s="174">
        <v>0</v>
      </c>
      <c r="K85" s="174">
        <v>0</v>
      </c>
      <c r="L85" s="174">
        <v>0</v>
      </c>
      <c r="M85" s="174">
        <v>0</v>
      </c>
      <c r="N85" s="174">
        <v>0</v>
      </c>
      <c r="O85" s="174">
        <v>0</v>
      </c>
      <c r="P85" s="174">
        <v>0</v>
      </c>
      <c r="Q85" s="324">
        <f t="shared" si="10"/>
        <v>0</v>
      </c>
    </row>
    <row r="86" spans="1:17" s="148" customFormat="1" ht="21" customHeight="1">
      <c r="A86" s="325">
        <v>331400</v>
      </c>
      <c r="B86" s="174">
        <v>12440</v>
      </c>
      <c r="C86" s="174">
        <v>6260</v>
      </c>
      <c r="D86" s="174">
        <v>0</v>
      </c>
      <c r="E86" s="174">
        <v>0</v>
      </c>
      <c r="F86" s="174">
        <v>0</v>
      </c>
      <c r="G86" s="174">
        <v>0</v>
      </c>
      <c r="H86" s="174">
        <v>0</v>
      </c>
      <c r="I86" s="174">
        <v>1370</v>
      </c>
      <c r="J86" s="174">
        <v>0</v>
      </c>
      <c r="K86" s="174">
        <v>0</v>
      </c>
      <c r="L86" s="174">
        <v>0</v>
      </c>
      <c r="M86" s="174">
        <v>0</v>
      </c>
      <c r="N86" s="174">
        <v>0</v>
      </c>
      <c r="O86" s="174">
        <v>0</v>
      </c>
      <c r="P86" s="174">
        <v>0</v>
      </c>
      <c r="Q86" s="324">
        <f t="shared" si="10"/>
        <v>20070</v>
      </c>
    </row>
    <row r="87" spans="1:17" s="148" customFormat="1" ht="21" customHeight="1">
      <c r="A87" s="325">
        <v>331700</v>
      </c>
      <c r="B87" s="174">
        <v>9200</v>
      </c>
      <c r="C87" s="174">
        <v>0</v>
      </c>
      <c r="D87" s="174">
        <v>0</v>
      </c>
      <c r="E87" s="174">
        <v>427284</v>
      </c>
      <c r="F87" s="174">
        <v>0</v>
      </c>
      <c r="G87" s="174">
        <f>13200-13200</f>
        <v>0</v>
      </c>
      <c r="H87" s="174">
        <v>0</v>
      </c>
      <c r="I87" s="174">
        <v>0</v>
      </c>
      <c r="J87" s="174">
        <v>0</v>
      </c>
      <c r="K87" s="174">
        <v>0</v>
      </c>
      <c r="L87" s="174">
        <v>0</v>
      </c>
      <c r="M87" s="174">
        <v>0</v>
      </c>
      <c r="N87" s="174">
        <v>0</v>
      </c>
      <c r="O87" s="174">
        <v>0</v>
      </c>
      <c r="P87" s="174">
        <v>0</v>
      </c>
      <c r="Q87" s="324">
        <f t="shared" si="10"/>
        <v>436484</v>
      </c>
    </row>
    <row r="88" spans="1:17" s="148" customFormat="1" ht="21" customHeight="1">
      <c r="A88" s="325">
        <v>331800</v>
      </c>
      <c r="B88" s="174">
        <v>0</v>
      </c>
      <c r="C88" s="174">
        <v>0</v>
      </c>
      <c r="D88" s="174">
        <v>0</v>
      </c>
      <c r="E88" s="174">
        <v>0</v>
      </c>
      <c r="F88" s="174">
        <v>0</v>
      </c>
      <c r="G88" s="174">
        <f>13200-13200</f>
        <v>0</v>
      </c>
      <c r="H88" s="174">
        <v>0</v>
      </c>
      <c r="I88" s="174">
        <v>0</v>
      </c>
      <c r="J88" s="174">
        <v>0</v>
      </c>
      <c r="K88" s="174">
        <v>0</v>
      </c>
      <c r="L88" s="174">
        <v>0</v>
      </c>
      <c r="M88" s="174">
        <v>0</v>
      </c>
      <c r="N88" s="174">
        <v>0</v>
      </c>
      <c r="O88" s="174">
        <v>0</v>
      </c>
      <c r="P88" s="174">
        <v>0</v>
      </c>
      <c r="Q88" s="324">
        <f t="shared" si="10"/>
        <v>0</v>
      </c>
    </row>
    <row r="89" spans="1:17" s="148" customFormat="1" ht="21" customHeight="1">
      <c r="A89" s="325">
        <v>331900</v>
      </c>
      <c r="B89" s="174">
        <v>0</v>
      </c>
      <c r="C89" s="174">
        <v>0</v>
      </c>
      <c r="D89" s="174">
        <v>0</v>
      </c>
      <c r="E89" s="174">
        <v>0</v>
      </c>
      <c r="F89" s="174">
        <v>0</v>
      </c>
      <c r="G89" s="174">
        <f>13200-13200</f>
        <v>0</v>
      </c>
      <c r="H89" s="174">
        <v>0</v>
      </c>
      <c r="I89" s="174">
        <v>0</v>
      </c>
      <c r="J89" s="174">
        <v>0</v>
      </c>
      <c r="K89" s="174">
        <v>0</v>
      </c>
      <c r="L89" s="174">
        <v>0</v>
      </c>
      <c r="M89" s="174">
        <v>0</v>
      </c>
      <c r="N89" s="174">
        <v>0</v>
      </c>
      <c r="O89" s="174">
        <v>0</v>
      </c>
      <c r="P89" s="174">
        <v>0</v>
      </c>
      <c r="Q89" s="324">
        <f t="shared" si="10"/>
        <v>0</v>
      </c>
    </row>
    <row r="90" spans="1:17" ht="18.75">
      <c r="A90" s="72" t="s">
        <v>18</v>
      </c>
      <c r="B90" s="73">
        <f aca="true" t="shared" si="11" ref="B90:P90">SUM(B77:B89)</f>
        <v>68720.9</v>
      </c>
      <c r="C90" s="73">
        <f t="shared" si="11"/>
        <v>23373</v>
      </c>
      <c r="D90" s="73">
        <f t="shared" si="11"/>
        <v>0</v>
      </c>
      <c r="E90" s="73">
        <f t="shared" si="11"/>
        <v>427284</v>
      </c>
      <c r="F90" s="73">
        <f t="shared" si="11"/>
        <v>0</v>
      </c>
      <c r="G90" s="73">
        <f t="shared" si="11"/>
        <v>0</v>
      </c>
      <c r="H90" s="73">
        <f t="shared" si="11"/>
        <v>0</v>
      </c>
      <c r="I90" s="73">
        <f t="shared" si="11"/>
        <v>21555</v>
      </c>
      <c r="J90" s="73">
        <f t="shared" si="11"/>
        <v>0</v>
      </c>
      <c r="K90" s="73">
        <f t="shared" si="11"/>
        <v>0</v>
      </c>
      <c r="L90" s="73">
        <f t="shared" si="11"/>
        <v>0</v>
      </c>
      <c r="M90" s="73">
        <f t="shared" si="11"/>
        <v>0</v>
      </c>
      <c r="N90" s="73">
        <f t="shared" si="11"/>
        <v>0</v>
      </c>
      <c r="O90" s="73">
        <f t="shared" si="11"/>
        <v>26972</v>
      </c>
      <c r="P90" s="73">
        <f t="shared" si="11"/>
        <v>0</v>
      </c>
      <c r="Q90" s="324">
        <f t="shared" si="10"/>
        <v>567904.9</v>
      </c>
    </row>
    <row r="91" spans="1:17" s="79" customFormat="1" ht="18.75">
      <c r="A91" s="72" t="s">
        <v>19</v>
      </c>
      <c r="B91" s="73">
        <f>5902+17896+13274+81996+31978+33707+20735+21675+68720.9</f>
        <v>295883.9</v>
      </c>
      <c r="C91" s="73">
        <f>3500+22970+6472+5400+23373</f>
        <v>61715</v>
      </c>
      <c r="D91" s="73">
        <f>0</f>
        <v>0</v>
      </c>
      <c r="E91" s="73">
        <v>427284</v>
      </c>
      <c r="F91" s="73">
        <v>0</v>
      </c>
      <c r="G91" s="73">
        <v>0</v>
      </c>
      <c r="H91" s="73">
        <f>0</f>
        <v>0</v>
      </c>
      <c r="I91" s="73">
        <f>29974+10640+32229+21555</f>
        <v>94398</v>
      </c>
      <c r="J91" s="73">
        <f>0</f>
        <v>0</v>
      </c>
      <c r="K91" s="73">
        <f>0</f>
        <v>0</v>
      </c>
      <c r="L91" s="73">
        <v>0</v>
      </c>
      <c r="M91" s="73">
        <f>0</f>
        <v>0</v>
      </c>
      <c r="N91" s="73">
        <v>0</v>
      </c>
      <c r="O91" s="73">
        <f>44650+60300+39800+1664+26972</f>
        <v>173386</v>
      </c>
      <c r="P91" s="73">
        <f>0</f>
        <v>0</v>
      </c>
      <c r="Q91" s="324">
        <f t="shared" si="10"/>
        <v>1052666.9</v>
      </c>
    </row>
    <row r="92" spans="1:17" s="148" customFormat="1" ht="21" customHeight="1">
      <c r="A92" s="326">
        <v>534000</v>
      </c>
      <c r="B92" s="328"/>
      <c r="C92" s="74"/>
      <c r="D92" s="74"/>
      <c r="E92" s="324"/>
      <c r="F92" s="324"/>
      <c r="G92" s="74"/>
      <c r="H92" s="74"/>
      <c r="I92" s="74"/>
      <c r="J92" s="73"/>
      <c r="K92" s="324"/>
      <c r="L92" s="74"/>
      <c r="M92" s="74"/>
      <c r="N92" s="324"/>
      <c r="O92" s="74"/>
      <c r="P92" s="73"/>
      <c r="Q92" s="324"/>
    </row>
    <row r="93" spans="1:17" s="148" customFormat="1" ht="21" customHeight="1">
      <c r="A93" s="325">
        <v>340100</v>
      </c>
      <c r="B93" s="174">
        <v>17389.76</v>
      </c>
      <c r="C93" s="174">
        <v>0</v>
      </c>
      <c r="D93" s="174">
        <v>0</v>
      </c>
      <c r="E93" s="174">
        <v>0</v>
      </c>
      <c r="F93" s="174">
        <v>0</v>
      </c>
      <c r="G93" s="174">
        <v>0</v>
      </c>
      <c r="H93" s="174">
        <v>0</v>
      </c>
      <c r="I93" s="174">
        <v>0</v>
      </c>
      <c r="J93" s="174">
        <v>0</v>
      </c>
      <c r="K93" s="174">
        <v>0</v>
      </c>
      <c r="L93" s="174">
        <v>0</v>
      </c>
      <c r="M93" s="174">
        <v>0</v>
      </c>
      <c r="N93" s="174">
        <v>0</v>
      </c>
      <c r="O93" s="174">
        <v>16212.94</v>
      </c>
      <c r="P93" s="174">
        <v>0</v>
      </c>
      <c r="Q93" s="324">
        <f aca="true" t="shared" si="12" ref="Q93:Q98">SUM(B93:P93)</f>
        <v>33602.7</v>
      </c>
    </row>
    <row r="94" spans="1:17" s="148" customFormat="1" ht="21" customHeight="1">
      <c r="A94" s="325">
        <v>340300</v>
      </c>
      <c r="B94" s="174">
        <v>1321.77</v>
      </c>
      <c r="C94" s="174">
        <v>0</v>
      </c>
      <c r="D94" s="174">
        <v>0</v>
      </c>
      <c r="E94" s="174">
        <v>0</v>
      </c>
      <c r="F94" s="174">
        <v>0</v>
      </c>
      <c r="G94" s="174">
        <v>0</v>
      </c>
      <c r="H94" s="174">
        <v>0</v>
      </c>
      <c r="I94" s="174">
        <v>0</v>
      </c>
      <c r="J94" s="174">
        <v>0</v>
      </c>
      <c r="K94" s="174">
        <v>0</v>
      </c>
      <c r="L94" s="174">
        <v>0</v>
      </c>
      <c r="M94" s="174">
        <v>0</v>
      </c>
      <c r="N94" s="174">
        <v>0</v>
      </c>
      <c r="O94" s="174">
        <v>0</v>
      </c>
      <c r="P94" s="174">
        <v>0</v>
      </c>
      <c r="Q94" s="324">
        <f t="shared" si="12"/>
        <v>1321.77</v>
      </c>
    </row>
    <row r="95" spans="1:17" s="148" customFormat="1" ht="21" customHeight="1">
      <c r="A95" s="325">
        <v>340400</v>
      </c>
      <c r="B95" s="174">
        <v>0</v>
      </c>
      <c r="C95" s="174">
        <v>0</v>
      </c>
      <c r="D95" s="174">
        <v>0</v>
      </c>
      <c r="E95" s="174">
        <v>0</v>
      </c>
      <c r="F95" s="174">
        <v>0</v>
      </c>
      <c r="G95" s="174">
        <v>0</v>
      </c>
      <c r="H95" s="174">
        <v>0</v>
      </c>
      <c r="I95" s="174">
        <v>0</v>
      </c>
      <c r="J95" s="174">
        <v>0</v>
      </c>
      <c r="K95" s="174">
        <v>0</v>
      </c>
      <c r="L95" s="174">
        <v>0</v>
      </c>
      <c r="M95" s="174">
        <v>0</v>
      </c>
      <c r="N95" s="174">
        <v>0</v>
      </c>
      <c r="O95" s="174">
        <v>0</v>
      </c>
      <c r="P95" s="174">
        <v>0</v>
      </c>
      <c r="Q95" s="324">
        <f t="shared" si="12"/>
        <v>0</v>
      </c>
    </row>
    <row r="96" spans="1:17" s="148" customFormat="1" ht="21" customHeight="1">
      <c r="A96" s="325">
        <v>340500</v>
      </c>
      <c r="B96" s="174">
        <v>6955</v>
      </c>
      <c r="C96" s="174">
        <v>0</v>
      </c>
      <c r="D96" s="174">
        <v>0</v>
      </c>
      <c r="E96" s="174">
        <v>0</v>
      </c>
      <c r="F96" s="174">
        <v>0</v>
      </c>
      <c r="G96" s="174">
        <v>0</v>
      </c>
      <c r="H96" s="174">
        <v>0</v>
      </c>
      <c r="I96" s="174">
        <v>0</v>
      </c>
      <c r="J96" s="174">
        <v>0</v>
      </c>
      <c r="K96" s="174">
        <v>0</v>
      </c>
      <c r="L96" s="174">
        <v>0</v>
      </c>
      <c r="M96" s="174">
        <v>0</v>
      </c>
      <c r="N96" s="174">
        <v>0</v>
      </c>
      <c r="O96" s="174">
        <v>0</v>
      </c>
      <c r="P96" s="174">
        <v>0</v>
      </c>
      <c r="Q96" s="324">
        <f t="shared" si="12"/>
        <v>6955</v>
      </c>
    </row>
    <row r="97" spans="1:17" ht="18.75">
      <c r="A97" s="72" t="s">
        <v>18</v>
      </c>
      <c r="B97" s="74">
        <f aca="true" t="shared" si="13" ref="B97:P97">SUM(B93:B96)</f>
        <v>25666.53</v>
      </c>
      <c r="C97" s="74">
        <f t="shared" si="13"/>
        <v>0</v>
      </c>
      <c r="D97" s="74">
        <f t="shared" si="13"/>
        <v>0</v>
      </c>
      <c r="E97" s="74">
        <f t="shared" si="13"/>
        <v>0</v>
      </c>
      <c r="F97" s="74">
        <f t="shared" si="13"/>
        <v>0</v>
      </c>
      <c r="G97" s="74">
        <f t="shared" si="13"/>
        <v>0</v>
      </c>
      <c r="H97" s="74">
        <f t="shared" si="13"/>
        <v>0</v>
      </c>
      <c r="I97" s="74">
        <f t="shared" si="13"/>
        <v>0</v>
      </c>
      <c r="J97" s="74">
        <f t="shared" si="13"/>
        <v>0</v>
      </c>
      <c r="K97" s="74">
        <f t="shared" si="13"/>
        <v>0</v>
      </c>
      <c r="L97" s="74">
        <f t="shared" si="13"/>
        <v>0</v>
      </c>
      <c r="M97" s="74">
        <f t="shared" si="13"/>
        <v>0</v>
      </c>
      <c r="N97" s="74">
        <f t="shared" si="13"/>
        <v>0</v>
      </c>
      <c r="O97" s="74">
        <f t="shared" si="13"/>
        <v>16212.94</v>
      </c>
      <c r="P97" s="74">
        <f t="shared" si="13"/>
        <v>0</v>
      </c>
      <c r="Q97" s="324">
        <f t="shared" si="12"/>
        <v>41879.47</v>
      </c>
    </row>
    <row r="98" spans="1:17" s="79" customFormat="1" ht="18.75">
      <c r="A98" s="72" t="s">
        <v>19</v>
      </c>
      <c r="B98" s="73">
        <f>7341.12+14737.1+16752.97+13669.74+13354.76+14385.73+21436.57+22380.29+25666.53</f>
        <v>149724.81</v>
      </c>
      <c r="C98" s="73">
        <f>0</f>
        <v>0</v>
      </c>
      <c r="D98" s="73">
        <f>0</f>
        <v>0</v>
      </c>
      <c r="E98" s="73">
        <f>0</f>
        <v>0</v>
      </c>
      <c r="F98" s="73">
        <f>0</f>
        <v>0</v>
      </c>
      <c r="G98" s="73">
        <f>0</f>
        <v>0</v>
      </c>
      <c r="H98" s="73">
        <f>0</f>
        <v>0</v>
      </c>
      <c r="I98" s="73">
        <v>0</v>
      </c>
      <c r="J98" s="73">
        <f>0</f>
        <v>0</v>
      </c>
      <c r="K98" s="73">
        <f>0</f>
        <v>0</v>
      </c>
      <c r="L98" s="73">
        <f>0</f>
        <v>0</v>
      </c>
      <c r="M98" s="73">
        <f>0</f>
        <v>0</v>
      </c>
      <c r="N98" s="73">
        <f>0</f>
        <v>0</v>
      </c>
      <c r="O98" s="73">
        <f>10415.56+13898.17+11830.4+12048.03+11233.06+11554.09+13801.33+11340.05+16212.94</f>
        <v>112333.63</v>
      </c>
      <c r="P98" s="73">
        <f>0</f>
        <v>0</v>
      </c>
      <c r="Q98" s="324">
        <f t="shared" si="12"/>
        <v>262058.44</v>
      </c>
    </row>
    <row r="99" spans="1:17" s="79" customFormat="1" ht="21" customHeight="1">
      <c r="A99" s="78"/>
      <c r="B99" s="332"/>
      <c r="C99" s="538" t="s">
        <v>7</v>
      </c>
      <c r="D99" s="538"/>
      <c r="E99" s="85"/>
      <c r="F99" s="85"/>
      <c r="G99" s="85"/>
      <c r="H99" s="212"/>
      <c r="I99" s="538" t="s">
        <v>98</v>
      </c>
      <c r="J99" s="538"/>
      <c r="K99" s="538"/>
      <c r="L99" s="332"/>
      <c r="M99" s="332"/>
      <c r="N99" s="332"/>
      <c r="O99" s="332"/>
      <c r="P99" s="332"/>
      <c r="Q99" s="333"/>
    </row>
    <row r="100" spans="1:17" s="79" customFormat="1" ht="21" customHeight="1">
      <c r="A100" s="78"/>
      <c r="B100" s="80"/>
      <c r="C100" s="85"/>
      <c r="D100" s="85"/>
      <c r="E100" s="85"/>
      <c r="F100" s="85"/>
      <c r="G100" s="85"/>
      <c r="H100" s="85"/>
      <c r="I100" s="85"/>
      <c r="J100" s="85"/>
      <c r="K100" s="85"/>
      <c r="L100" s="80"/>
      <c r="M100" s="80"/>
      <c r="N100" s="80"/>
      <c r="O100" s="80"/>
      <c r="P100" s="80"/>
      <c r="Q100" s="83"/>
    </row>
    <row r="101" spans="1:17" s="79" customFormat="1" ht="21" customHeight="1">
      <c r="A101" s="78"/>
      <c r="B101" s="80"/>
      <c r="C101" s="85"/>
      <c r="D101" s="85"/>
      <c r="E101" s="85"/>
      <c r="F101" s="85"/>
      <c r="G101" s="85"/>
      <c r="H101" s="80"/>
      <c r="I101" s="85"/>
      <c r="J101" s="75"/>
      <c r="K101" s="75"/>
      <c r="L101" s="80"/>
      <c r="M101" s="80"/>
      <c r="N101" s="80"/>
      <c r="O101" s="80"/>
      <c r="P101" s="80"/>
      <c r="Q101" s="83"/>
    </row>
    <row r="102" spans="1:17" s="79" customFormat="1" ht="21" customHeight="1">
      <c r="A102" s="78"/>
      <c r="B102" s="80"/>
      <c r="C102" s="538" t="s">
        <v>115</v>
      </c>
      <c r="D102" s="538"/>
      <c r="E102" s="85"/>
      <c r="F102" s="85"/>
      <c r="G102" s="85"/>
      <c r="H102" s="85"/>
      <c r="I102" s="538" t="s">
        <v>300</v>
      </c>
      <c r="J102" s="538"/>
      <c r="K102" s="538"/>
      <c r="L102" s="80"/>
      <c r="M102" s="80"/>
      <c r="N102" s="80"/>
      <c r="O102" s="80"/>
      <c r="P102" s="80"/>
      <c r="Q102" s="83"/>
    </row>
    <row r="103" spans="1:17" s="79" customFormat="1" ht="21" customHeight="1">
      <c r="A103" s="78"/>
      <c r="B103" s="80"/>
      <c r="C103" s="538" t="s">
        <v>329</v>
      </c>
      <c r="D103" s="538"/>
      <c r="E103" s="85"/>
      <c r="F103" s="85"/>
      <c r="G103" s="85"/>
      <c r="H103" s="85"/>
      <c r="I103" s="538" t="s">
        <v>97</v>
      </c>
      <c r="J103" s="538"/>
      <c r="K103" s="538"/>
      <c r="L103" s="80"/>
      <c r="M103" s="80"/>
      <c r="N103" s="80"/>
      <c r="O103" s="80"/>
      <c r="P103" s="80"/>
      <c r="Q103" s="83"/>
    </row>
    <row r="104" spans="1:17" s="79" customFormat="1" ht="21" customHeight="1">
      <c r="A104" s="78"/>
      <c r="B104" s="80"/>
      <c r="C104" s="85"/>
      <c r="D104" s="85"/>
      <c r="E104" s="85"/>
      <c r="F104" s="85"/>
      <c r="G104" s="85"/>
      <c r="H104" s="85"/>
      <c r="I104" s="538"/>
      <c r="J104" s="538"/>
      <c r="K104" s="538"/>
      <c r="L104" s="80"/>
      <c r="M104" s="80"/>
      <c r="N104" s="80"/>
      <c r="O104" s="80"/>
      <c r="P104" s="80"/>
      <c r="Q104" s="83"/>
    </row>
    <row r="105" spans="1:17" s="79" customFormat="1" ht="18.75">
      <c r="A105" s="78"/>
      <c r="B105" s="80"/>
      <c r="C105" s="85"/>
      <c r="D105" s="85"/>
      <c r="E105" s="85"/>
      <c r="F105" s="85"/>
      <c r="H105" s="85"/>
      <c r="I105" s="80"/>
      <c r="J105" s="80"/>
      <c r="K105" s="80"/>
      <c r="L105" s="80"/>
      <c r="M105" s="80"/>
      <c r="N105" s="80"/>
      <c r="O105" s="80"/>
      <c r="P105" s="80"/>
      <c r="Q105" s="83"/>
    </row>
    <row r="106" spans="1:17" s="79" customFormat="1" ht="18.75">
      <c r="A106" s="78"/>
      <c r="B106" s="80"/>
      <c r="C106" s="85"/>
      <c r="D106" s="85"/>
      <c r="E106" s="85"/>
      <c r="F106" s="85"/>
      <c r="G106" s="85"/>
      <c r="H106" s="85"/>
      <c r="I106" s="80"/>
      <c r="J106" s="80"/>
      <c r="K106" s="80"/>
      <c r="L106" s="80"/>
      <c r="M106" s="80"/>
      <c r="N106" s="80"/>
      <c r="O106" s="80"/>
      <c r="P106" s="80"/>
      <c r="Q106" s="83"/>
    </row>
    <row r="107" spans="1:17" s="79" customFormat="1" ht="18.75">
      <c r="A107" s="78"/>
      <c r="B107" s="80"/>
      <c r="C107" s="85"/>
      <c r="D107" s="85"/>
      <c r="E107" s="85"/>
      <c r="F107" s="85"/>
      <c r="G107" s="85"/>
      <c r="H107" s="85"/>
      <c r="I107" s="80"/>
      <c r="J107" s="80"/>
      <c r="K107" s="80"/>
      <c r="L107" s="80"/>
      <c r="M107" s="80"/>
      <c r="N107" s="80"/>
      <c r="O107" s="80"/>
      <c r="P107" s="80"/>
      <c r="Q107" s="83"/>
    </row>
    <row r="108" spans="1:17" s="79" customFormat="1" ht="18.75">
      <c r="A108" s="78"/>
      <c r="B108" s="80"/>
      <c r="C108" s="85"/>
      <c r="D108" s="85"/>
      <c r="E108" s="85"/>
      <c r="F108" s="85"/>
      <c r="G108" s="85"/>
      <c r="H108" s="85"/>
      <c r="I108" s="80"/>
      <c r="J108" s="80"/>
      <c r="K108" s="80"/>
      <c r="L108" s="80"/>
      <c r="M108" s="80"/>
      <c r="N108" s="80"/>
      <c r="O108" s="80"/>
      <c r="P108" s="80"/>
      <c r="Q108" s="83"/>
    </row>
    <row r="109" spans="1:17" ht="21" customHeight="1" thickBot="1">
      <c r="A109" s="539" t="s">
        <v>211</v>
      </c>
      <c r="B109" s="539"/>
      <c r="C109" s="539"/>
      <c r="D109" s="539"/>
      <c r="E109" s="539"/>
      <c r="F109" s="539"/>
      <c r="G109" s="539"/>
      <c r="H109" s="539"/>
      <c r="I109" s="539"/>
      <c r="J109" s="539"/>
      <c r="K109" s="539"/>
      <c r="L109" s="539"/>
      <c r="M109" s="539"/>
      <c r="N109" s="539"/>
      <c r="O109" s="539"/>
      <c r="P109" s="539"/>
      <c r="Q109" s="539"/>
    </row>
    <row r="110" spans="1:17" s="62" customFormat="1" ht="21.75" customHeight="1">
      <c r="A110" s="57" t="s">
        <v>15</v>
      </c>
      <c r="B110" s="536" t="s">
        <v>79</v>
      </c>
      <c r="C110" s="537"/>
      <c r="D110" s="436" t="s">
        <v>82</v>
      </c>
      <c r="E110" s="536" t="s">
        <v>88</v>
      </c>
      <c r="F110" s="537"/>
      <c r="G110" s="58" t="s">
        <v>89</v>
      </c>
      <c r="H110" s="59" t="s">
        <v>92</v>
      </c>
      <c r="I110" s="536" t="s">
        <v>83</v>
      </c>
      <c r="J110" s="537"/>
      <c r="K110" s="60" t="s">
        <v>93</v>
      </c>
      <c r="L110" s="536" t="s">
        <v>84</v>
      </c>
      <c r="M110" s="537"/>
      <c r="N110" s="60" t="s">
        <v>96</v>
      </c>
      <c r="O110" s="60" t="s">
        <v>112</v>
      </c>
      <c r="P110" s="58" t="s">
        <v>77</v>
      </c>
      <c r="Q110" s="61" t="s">
        <v>16</v>
      </c>
    </row>
    <row r="111" spans="1:17" s="62" customFormat="1" ht="19.5" thickBot="1">
      <c r="A111" s="63" t="s">
        <v>17</v>
      </c>
      <c r="B111" s="65" t="s">
        <v>80</v>
      </c>
      <c r="C111" s="66" t="s">
        <v>81</v>
      </c>
      <c r="D111" s="64" t="s">
        <v>73</v>
      </c>
      <c r="E111" s="65" t="s">
        <v>87</v>
      </c>
      <c r="F111" s="137" t="s">
        <v>107</v>
      </c>
      <c r="G111" s="65" t="s">
        <v>90</v>
      </c>
      <c r="H111" s="68" t="s">
        <v>91</v>
      </c>
      <c r="I111" s="64" t="s">
        <v>75</v>
      </c>
      <c r="J111" s="64" t="s">
        <v>76</v>
      </c>
      <c r="K111" s="69" t="s">
        <v>289</v>
      </c>
      <c r="L111" s="66" t="s">
        <v>85</v>
      </c>
      <c r="M111" s="67" t="s">
        <v>86</v>
      </c>
      <c r="N111" s="69" t="s">
        <v>95</v>
      </c>
      <c r="O111" s="69" t="s">
        <v>113</v>
      </c>
      <c r="P111" s="64" t="s">
        <v>78</v>
      </c>
      <c r="Q111" s="70"/>
    </row>
    <row r="112" spans="1:17" s="148" customFormat="1" ht="21" customHeight="1">
      <c r="A112" s="326">
        <v>541000</v>
      </c>
      <c r="B112" s="328"/>
      <c r="C112" s="74"/>
      <c r="D112" s="74"/>
      <c r="E112" s="324"/>
      <c r="F112" s="324"/>
      <c r="G112" s="74"/>
      <c r="H112" s="74"/>
      <c r="I112" s="74"/>
      <c r="J112" s="73"/>
      <c r="K112" s="324"/>
      <c r="L112" s="74"/>
      <c r="M112" s="74"/>
      <c r="N112" s="324"/>
      <c r="O112" s="74"/>
      <c r="P112" s="73"/>
      <c r="Q112" s="324"/>
    </row>
    <row r="113" spans="1:17" s="148" customFormat="1" ht="21" customHeight="1">
      <c r="A113" s="331">
        <v>410100</v>
      </c>
      <c r="B113" s="338">
        <f>7000</f>
        <v>7000</v>
      </c>
      <c r="C113" s="174">
        <v>0</v>
      </c>
      <c r="D113" s="174">
        <v>0</v>
      </c>
      <c r="E113" s="174">
        <v>0</v>
      </c>
      <c r="F113" s="174">
        <v>0</v>
      </c>
      <c r="G113" s="174">
        <v>0</v>
      </c>
      <c r="H113" s="174">
        <v>0</v>
      </c>
      <c r="I113" s="174">
        <v>0</v>
      </c>
      <c r="J113" s="174">
        <v>0</v>
      </c>
      <c r="K113" s="174">
        <v>0</v>
      </c>
      <c r="L113" s="324">
        <v>0</v>
      </c>
      <c r="M113" s="174">
        <v>0</v>
      </c>
      <c r="N113" s="174">
        <v>0</v>
      </c>
      <c r="O113" s="174">
        <v>0</v>
      </c>
      <c r="P113" s="174">
        <v>0</v>
      </c>
      <c r="Q113" s="324">
        <f aca="true" t="shared" si="14" ref="Q113:Q120">SUM(B113:P113)</f>
        <v>7000</v>
      </c>
    </row>
    <row r="114" spans="1:17" s="148" customFormat="1" ht="21" customHeight="1">
      <c r="A114" s="325">
        <v>410300</v>
      </c>
      <c r="B114" s="174">
        <v>0</v>
      </c>
      <c r="C114" s="174">
        <v>0</v>
      </c>
      <c r="D114" s="174">
        <v>0</v>
      </c>
      <c r="E114" s="174">
        <v>0</v>
      </c>
      <c r="F114" s="174">
        <v>0</v>
      </c>
      <c r="G114" s="174">
        <v>0</v>
      </c>
      <c r="H114" s="174">
        <v>0</v>
      </c>
      <c r="I114" s="174">
        <v>0</v>
      </c>
      <c r="J114" s="174">
        <v>0</v>
      </c>
      <c r="K114" s="174">
        <v>0</v>
      </c>
      <c r="L114" s="174">
        <v>0</v>
      </c>
      <c r="M114" s="174">
        <v>0</v>
      </c>
      <c r="N114" s="174">
        <v>0</v>
      </c>
      <c r="O114" s="174">
        <v>0</v>
      </c>
      <c r="P114" s="174">
        <v>0</v>
      </c>
      <c r="Q114" s="324">
        <f t="shared" si="14"/>
        <v>0</v>
      </c>
    </row>
    <row r="115" spans="1:17" s="148" customFormat="1" ht="21" customHeight="1">
      <c r="A115" s="325">
        <v>410700</v>
      </c>
      <c r="B115" s="174">
        <v>0</v>
      </c>
      <c r="C115" s="174">
        <v>0</v>
      </c>
      <c r="D115" s="174">
        <v>0</v>
      </c>
      <c r="E115" s="174">
        <v>0</v>
      </c>
      <c r="F115" s="174">
        <v>0</v>
      </c>
      <c r="G115" s="174">
        <v>0</v>
      </c>
      <c r="H115" s="174">
        <v>0</v>
      </c>
      <c r="I115" s="174">
        <v>0</v>
      </c>
      <c r="J115" s="174">
        <v>0</v>
      </c>
      <c r="K115" s="174">
        <v>0</v>
      </c>
      <c r="L115" s="174">
        <v>0</v>
      </c>
      <c r="M115" s="174">
        <v>0</v>
      </c>
      <c r="N115" s="174">
        <v>0</v>
      </c>
      <c r="O115" s="174">
        <v>0</v>
      </c>
      <c r="P115" s="174">
        <v>0</v>
      </c>
      <c r="Q115" s="324">
        <f t="shared" si="14"/>
        <v>0</v>
      </c>
    </row>
    <row r="116" spans="1:17" s="148" customFormat="1" ht="21" customHeight="1">
      <c r="A116" s="325">
        <v>410800</v>
      </c>
      <c r="B116" s="174">
        <v>0</v>
      </c>
      <c r="C116" s="174">
        <v>0</v>
      </c>
      <c r="D116" s="174">
        <v>0</v>
      </c>
      <c r="E116" s="174">
        <v>0</v>
      </c>
      <c r="F116" s="174">
        <v>0</v>
      </c>
      <c r="G116" s="174">
        <v>0</v>
      </c>
      <c r="H116" s="174">
        <v>0</v>
      </c>
      <c r="I116" s="174">
        <v>0</v>
      </c>
      <c r="J116" s="174">
        <v>0</v>
      </c>
      <c r="K116" s="174">
        <f>47500-47500</f>
        <v>0</v>
      </c>
      <c r="L116" s="174">
        <v>0</v>
      </c>
      <c r="M116" s="174">
        <v>0</v>
      </c>
      <c r="N116" s="174">
        <v>0</v>
      </c>
      <c r="O116" s="174">
        <v>0</v>
      </c>
      <c r="P116" s="174">
        <v>0</v>
      </c>
      <c r="Q116" s="324">
        <f t="shared" si="14"/>
        <v>0</v>
      </c>
    </row>
    <row r="117" spans="1:17" s="148" customFormat="1" ht="21" customHeight="1">
      <c r="A117" s="325">
        <v>410900</v>
      </c>
      <c r="B117" s="174">
        <v>0</v>
      </c>
      <c r="C117" s="174">
        <v>0</v>
      </c>
      <c r="D117" s="174">
        <v>0</v>
      </c>
      <c r="E117" s="174">
        <v>0</v>
      </c>
      <c r="F117" s="174">
        <v>0</v>
      </c>
      <c r="G117" s="174">
        <v>0</v>
      </c>
      <c r="H117" s="174">
        <v>0</v>
      </c>
      <c r="I117" s="174">
        <v>0</v>
      </c>
      <c r="J117" s="174">
        <v>0</v>
      </c>
      <c r="K117" s="174">
        <v>0</v>
      </c>
      <c r="L117" s="174">
        <v>0</v>
      </c>
      <c r="M117" s="174">
        <v>0</v>
      </c>
      <c r="N117" s="174">
        <v>0</v>
      </c>
      <c r="O117" s="174">
        <v>0</v>
      </c>
      <c r="P117" s="174">
        <v>0</v>
      </c>
      <c r="Q117" s="324">
        <f t="shared" si="14"/>
        <v>0</v>
      </c>
    </row>
    <row r="118" spans="1:17" s="148" customFormat="1" ht="21" customHeight="1">
      <c r="A118" s="325">
        <v>411700</v>
      </c>
      <c r="B118" s="174">
        <v>0</v>
      </c>
      <c r="C118" s="174">
        <f>27000-27000</f>
        <v>0</v>
      </c>
      <c r="D118" s="174">
        <v>0</v>
      </c>
      <c r="E118" s="174">
        <v>0</v>
      </c>
      <c r="F118" s="174">
        <v>0</v>
      </c>
      <c r="G118" s="174">
        <v>0</v>
      </c>
      <c r="H118" s="174">
        <v>0</v>
      </c>
      <c r="I118" s="174">
        <v>0</v>
      </c>
      <c r="J118" s="174">
        <v>0</v>
      </c>
      <c r="K118" s="174">
        <v>0</v>
      </c>
      <c r="L118" s="174">
        <v>0</v>
      </c>
      <c r="M118" s="174">
        <v>0</v>
      </c>
      <c r="N118" s="174">
        <v>0</v>
      </c>
      <c r="O118" s="174">
        <v>0</v>
      </c>
      <c r="P118" s="174">
        <v>0</v>
      </c>
      <c r="Q118" s="324">
        <f t="shared" si="14"/>
        <v>0</v>
      </c>
    </row>
    <row r="119" spans="1:17" ht="18.75">
      <c r="A119" s="72" t="s">
        <v>18</v>
      </c>
      <c r="B119" s="74">
        <f aca="true" t="shared" si="15" ref="B119:P119">SUM(B113:B118)</f>
        <v>7000</v>
      </c>
      <c r="C119" s="74">
        <f t="shared" si="15"/>
        <v>0</v>
      </c>
      <c r="D119" s="74">
        <f t="shared" si="15"/>
        <v>0</v>
      </c>
      <c r="E119" s="74">
        <f t="shared" si="15"/>
        <v>0</v>
      </c>
      <c r="F119" s="74">
        <f t="shared" si="15"/>
        <v>0</v>
      </c>
      <c r="G119" s="74">
        <f t="shared" si="15"/>
        <v>0</v>
      </c>
      <c r="H119" s="74">
        <f t="shared" si="15"/>
        <v>0</v>
      </c>
      <c r="I119" s="74">
        <f t="shared" si="15"/>
        <v>0</v>
      </c>
      <c r="J119" s="74">
        <f t="shared" si="15"/>
        <v>0</v>
      </c>
      <c r="K119" s="74">
        <f t="shared" si="15"/>
        <v>0</v>
      </c>
      <c r="L119" s="74">
        <f t="shared" si="15"/>
        <v>0</v>
      </c>
      <c r="M119" s="74">
        <f t="shared" si="15"/>
        <v>0</v>
      </c>
      <c r="N119" s="74">
        <f t="shared" si="15"/>
        <v>0</v>
      </c>
      <c r="O119" s="74">
        <f t="shared" si="15"/>
        <v>0</v>
      </c>
      <c r="P119" s="74">
        <f t="shared" si="15"/>
        <v>0</v>
      </c>
      <c r="Q119" s="324">
        <f t="shared" si="14"/>
        <v>7000</v>
      </c>
    </row>
    <row r="120" spans="1:17" s="79" customFormat="1" ht="18.75">
      <c r="A120" s="72" t="s">
        <v>19</v>
      </c>
      <c r="B120" s="73">
        <f>4500+64802.5+17290+5700+7000</f>
        <v>99292.5</v>
      </c>
      <c r="C120" s="73">
        <v>7600</v>
      </c>
      <c r="D120" s="73">
        <v>0</v>
      </c>
      <c r="E120" s="73">
        <v>0</v>
      </c>
      <c r="F120" s="73">
        <v>0</v>
      </c>
      <c r="G120" s="73">
        <v>0</v>
      </c>
      <c r="H120" s="73">
        <f>0</f>
        <v>0</v>
      </c>
      <c r="I120" s="73">
        <v>0</v>
      </c>
      <c r="J120" s="73">
        <f>0</f>
        <v>0</v>
      </c>
      <c r="K120" s="73">
        <v>0</v>
      </c>
      <c r="L120" s="73">
        <f>0</f>
        <v>0</v>
      </c>
      <c r="M120" s="73">
        <f>0</f>
        <v>0</v>
      </c>
      <c r="N120" s="73">
        <v>0</v>
      </c>
      <c r="O120" s="73">
        <v>0</v>
      </c>
      <c r="P120" s="73">
        <f>0</f>
        <v>0</v>
      </c>
      <c r="Q120" s="324">
        <f t="shared" si="14"/>
        <v>106892.5</v>
      </c>
    </row>
    <row r="121" spans="1:17" s="148" customFormat="1" ht="21" customHeight="1">
      <c r="A121" s="326">
        <v>542000</v>
      </c>
      <c r="B121" s="328"/>
      <c r="C121" s="74"/>
      <c r="D121" s="74"/>
      <c r="E121" s="324"/>
      <c r="F121" s="324"/>
      <c r="G121" s="74"/>
      <c r="H121" s="74"/>
      <c r="I121" s="74"/>
      <c r="J121" s="73"/>
      <c r="K121" s="324"/>
      <c r="L121" s="74"/>
      <c r="M121" s="74"/>
      <c r="N121" s="324"/>
      <c r="O121" s="74"/>
      <c r="P121" s="73"/>
      <c r="Q121" s="324"/>
    </row>
    <row r="122" spans="1:17" s="148" customFormat="1" ht="18.75">
      <c r="A122" s="72">
        <v>420900</v>
      </c>
      <c r="B122" s="73">
        <v>0</v>
      </c>
      <c r="C122" s="73">
        <v>0</v>
      </c>
      <c r="D122" s="73">
        <v>0</v>
      </c>
      <c r="E122" s="73">
        <v>0</v>
      </c>
      <c r="F122" s="73">
        <v>0</v>
      </c>
      <c r="G122" s="73">
        <v>0</v>
      </c>
      <c r="H122" s="73">
        <v>0</v>
      </c>
      <c r="I122" s="73">
        <v>0</v>
      </c>
      <c r="J122" s="73">
        <v>0</v>
      </c>
      <c r="K122" s="73">
        <v>0</v>
      </c>
      <c r="L122" s="73">
        <v>0</v>
      </c>
      <c r="M122" s="73">
        <v>0</v>
      </c>
      <c r="N122" s="73">
        <v>0</v>
      </c>
      <c r="O122" s="73">
        <v>0</v>
      </c>
      <c r="P122" s="73">
        <v>0</v>
      </c>
      <c r="Q122" s="324">
        <f>SUM(B122:P122)</f>
        <v>0</v>
      </c>
    </row>
    <row r="123" spans="1:17" s="148" customFormat="1" ht="18.75">
      <c r="A123" s="72">
        <v>421000</v>
      </c>
      <c r="B123" s="73">
        <v>0</v>
      </c>
      <c r="C123" s="73">
        <v>0</v>
      </c>
      <c r="D123" s="73">
        <v>0</v>
      </c>
      <c r="E123" s="73">
        <v>0</v>
      </c>
      <c r="F123" s="73">
        <v>0</v>
      </c>
      <c r="G123" s="73">
        <v>0</v>
      </c>
      <c r="H123" s="73">
        <v>0</v>
      </c>
      <c r="I123" s="73">
        <v>0</v>
      </c>
      <c r="J123" s="73">
        <v>1059495</v>
      </c>
      <c r="K123" s="73">
        <v>0</v>
      </c>
      <c r="L123" s="174">
        <v>0</v>
      </c>
      <c r="M123" s="73">
        <v>0</v>
      </c>
      <c r="N123" s="73">
        <v>0</v>
      </c>
      <c r="O123" s="73">
        <v>0</v>
      </c>
      <c r="P123" s="73">
        <v>0</v>
      </c>
      <c r="Q123" s="324">
        <f>SUM(B123:P123)</f>
        <v>1059495</v>
      </c>
    </row>
    <row r="124" spans="1:17" ht="18.75">
      <c r="A124" s="72" t="s">
        <v>18</v>
      </c>
      <c r="B124" s="74">
        <f aca="true" t="shared" si="16" ref="B124:P124">SUM(B122:B123)</f>
        <v>0</v>
      </c>
      <c r="C124" s="74">
        <f t="shared" si="16"/>
        <v>0</v>
      </c>
      <c r="D124" s="74">
        <f t="shared" si="16"/>
        <v>0</v>
      </c>
      <c r="E124" s="74">
        <f t="shared" si="16"/>
        <v>0</v>
      </c>
      <c r="F124" s="74">
        <f t="shared" si="16"/>
        <v>0</v>
      </c>
      <c r="G124" s="74">
        <f t="shared" si="16"/>
        <v>0</v>
      </c>
      <c r="H124" s="74">
        <f t="shared" si="16"/>
        <v>0</v>
      </c>
      <c r="I124" s="74">
        <f t="shared" si="16"/>
        <v>0</v>
      </c>
      <c r="J124" s="74">
        <f t="shared" si="16"/>
        <v>1059495</v>
      </c>
      <c r="K124" s="74">
        <f t="shared" si="16"/>
        <v>0</v>
      </c>
      <c r="L124" s="74">
        <f t="shared" si="16"/>
        <v>0</v>
      </c>
      <c r="M124" s="74">
        <f t="shared" si="16"/>
        <v>0</v>
      </c>
      <c r="N124" s="74">
        <f t="shared" si="16"/>
        <v>0</v>
      </c>
      <c r="O124" s="74">
        <f t="shared" si="16"/>
        <v>0</v>
      </c>
      <c r="P124" s="74">
        <f t="shared" si="16"/>
        <v>0</v>
      </c>
      <c r="Q124" s="324">
        <f>SUM(B124:P124)</f>
        <v>1059495</v>
      </c>
    </row>
    <row r="125" spans="1:17" s="79" customFormat="1" ht="18.75">
      <c r="A125" s="72" t="s">
        <v>19</v>
      </c>
      <c r="B125" s="73">
        <v>0</v>
      </c>
      <c r="C125" s="73">
        <f>0</f>
        <v>0</v>
      </c>
      <c r="D125" s="73">
        <f>0</f>
        <v>0</v>
      </c>
      <c r="E125" s="73">
        <f>0</f>
        <v>0</v>
      </c>
      <c r="F125" s="73">
        <f>0</f>
        <v>0</v>
      </c>
      <c r="G125" s="73">
        <f>0</f>
        <v>0</v>
      </c>
      <c r="H125" s="73">
        <f>0</f>
        <v>0</v>
      </c>
      <c r="I125" s="73">
        <v>0</v>
      </c>
      <c r="J125" s="73">
        <f>43530+81800+153720+1059495</f>
        <v>1338545</v>
      </c>
      <c r="K125" s="73">
        <f>0</f>
        <v>0</v>
      </c>
      <c r="L125" s="73">
        <f>0</f>
        <v>0</v>
      </c>
      <c r="M125" s="73">
        <f>0</f>
        <v>0</v>
      </c>
      <c r="N125" s="73">
        <v>0</v>
      </c>
      <c r="O125" s="73">
        <f>0</f>
        <v>0</v>
      </c>
      <c r="P125" s="73">
        <f>0</f>
        <v>0</v>
      </c>
      <c r="Q125" s="324">
        <f>SUM(B125:P125)</f>
        <v>1338545</v>
      </c>
    </row>
    <row r="126" spans="1:17" s="148" customFormat="1" ht="21" customHeight="1">
      <c r="A126" s="326">
        <v>551000</v>
      </c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324"/>
    </row>
    <row r="127" spans="1:17" s="148" customFormat="1" ht="21" customHeight="1">
      <c r="A127" s="325">
        <v>510100</v>
      </c>
      <c r="B127" s="174">
        <v>0</v>
      </c>
      <c r="C127" s="174">
        <v>0</v>
      </c>
      <c r="D127" s="174">
        <v>0</v>
      </c>
      <c r="E127" s="174">
        <v>0</v>
      </c>
      <c r="F127" s="174">
        <v>0</v>
      </c>
      <c r="G127" s="174">
        <v>0</v>
      </c>
      <c r="H127" s="174">
        <v>0</v>
      </c>
      <c r="I127" s="174">
        <v>0</v>
      </c>
      <c r="J127" s="174">
        <v>0</v>
      </c>
      <c r="K127" s="174">
        <v>0</v>
      </c>
      <c r="L127" s="174">
        <v>0</v>
      </c>
      <c r="M127" s="174">
        <v>0</v>
      </c>
      <c r="N127" s="174">
        <v>3500</v>
      </c>
      <c r="O127" s="174">
        <v>0</v>
      </c>
      <c r="P127" s="174">
        <v>0</v>
      </c>
      <c r="Q127" s="324">
        <f>SUM(B127:P127)</f>
        <v>3500</v>
      </c>
    </row>
    <row r="128" spans="1:17" ht="18.75">
      <c r="A128" s="72" t="s">
        <v>18</v>
      </c>
      <c r="B128" s="73">
        <f aca="true" t="shared" si="17" ref="B128:P128">SUM(B127)</f>
        <v>0</v>
      </c>
      <c r="C128" s="73">
        <f t="shared" si="17"/>
        <v>0</v>
      </c>
      <c r="D128" s="73">
        <f t="shared" si="17"/>
        <v>0</v>
      </c>
      <c r="E128" s="73">
        <f t="shared" si="17"/>
        <v>0</v>
      </c>
      <c r="F128" s="73">
        <f t="shared" si="17"/>
        <v>0</v>
      </c>
      <c r="G128" s="73">
        <f t="shared" si="17"/>
        <v>0</v>
      </c>
      <c r="H128" s="73">
        <f t="shared" si="17"/>
        <v>0</v>
      </c>
      <c r="I128" s="73">
        <f t="shared" si="17"/>
        <v>0</v>
      </c>
      <c r="J128" s="73">
        <f t="shared" si="17"/>
        <v>0</v>
      </c>
      <c r="K128" s="73">
        <f t="shared" si="17"/>
        <v>0</v>
      </c>
      <c r="L128" s="73">
        <f t="shared" si="17"/>
        <v>0</v>
      </c>
      <c r="M128" s="73">
        <f t="shared" si="17"/>
        <v>0</v>
      </c>
      <c r="N128" s="73">
        <f t="shared" si="17"/>
        <v>3500</v>
      </c>
      <c r="O128" s="73">
        <f t="shared" si="17"/>
        <v>0</v>
      </c>
      <c r="P128" s="73">
        <f t="shared" si="17"/>
        <v>0</v>
      </c>
      <c r="Q128" s="324">
        <f>SUM(B128:P128)</f>
        <v>3500</v>
      </c>
    </row>
    <row r="129" spans="1:17" s="79" customFormat="1" ht="18.75">
      <c r="A129" s="72" t="s">
        <v>19</v>
      </c>
      <c r="B129" s="73">
        <v>0</v>
      </c>
      <c r="C129" s="73">
        <f>0</f>
        <v>0</v>
      </c>
      <c r="D129" s="73">
        <f>75925+8762</f>
        <v>84687</v>
      </c>
      <c r="E129" s="73">
        <v>0</v>
      </c>
      <c r="F129" s="73">
        <v>0</v>
      </c>
      <c r="G129" s="73">
        <v>0</v>
      </c>
      <c r="H129" s="73">
        <v>0</v>
      </c>
      <c r="I129" s="73">
        <f>0</f>
        <v>0</v>
      </c>
      <c r="J129" s="73">
        <f>0</f>
        <v>0</v>
      </c>
      <c r="K129" s="73">
        <v>0</v>
      </c>
      <c r="L129" s="73">
        <f>0</f>
        <v>0</v>
      </c>
      <c r="M129" s="73">
        <v>0</v>
      </c>
      <c r="N129" s="73">
        <v>3500</v>
      </c>
      <c r="O129" s="73">
        <v>0</v>
      </c>
      <c r="P129" s="73">
        <f>0</f>
        <v>0</v>
      </c>
      <c r="Q129" s="324">
        <f>SUM(B129:P129)</f>
        <v>88187</v>
      </c>
    </row>
    <row r="130" spans="1:17" s="148" customFormat="1" ht="21" customHeight="1">
      <c r="A130" s="326">
        <v>561000</v>
      </c>
      <c r="B130" s="328"/>
      <c r="C130" s="74"/>
      <c r="D130" s="74"/>
      <c r="E130" s="324"/>
      <c r="F130" s="324"/>
      <c r="G130" s="74"/>
      <c r="H130" s="74"/>
      <c r="I130" s="74"/>
      <c r="J130" s="73"/>
      <c r="K130" s="324"/>
      <c r="L130" s="74"/>
      <c r="M130" s="74"/>
      <c r="N130" s="324"/>
      <c r="O130" s="74"/>
      <c r="P130" s="73"/>
      <c r="Q130" s="324"/>
    </row>
    <row r="131" spans="1:17" s="148" customFormat="1" ht="21" customHeight="1">
      <c r="A131" s="158">
        <v>610200</v>
      </c>
      <c r="B131" s="174">
        <v>0</v>
      </c>
      <c r="C131" s="174">
        <v>0</v>
      </c>
      <c r="D131" s="174">
        <v>0</v>
      </c>
      <c r="E131" s="174">
        <v>0</v>
      </c>
      <c r="F131" s="174">
        <v>0</v>
      </c>
      <c r="G131" s="174">
        <v>0</v>
      </c>
      <c r="H131" s="174">
        <v>0</v>
      </c>
      <c r="I131" s="174">
        <v>0</v>
      </c>
      <c r="J131" s="174">
        <v>0</v>
      </c>
      <c r="K131" s="340">
        <v>0</v>
      </c>
      <c r="L131" s="174">
        <v>0</v>
      </c>
      <c r="M131" s="174">
        <v>0</v>
      </c>
      <c r="N131" s="340">
        <v>0</v>
      </c>
      <c r="O131" s="174">
        <v>0</v>
      </c>
      <c r="P131" s="174">
        <f>10000-10000</f>
        <v>0</v>
      </c>
      <c r="Q131" s="324">
        <f>SUM(B131:P131)</f>
        <v>0</v>
      </c>
    </row>
    <row r="132" spans="1:17" s="148" customFormat="1" ht="21" customHeight="1">
      <c r="A132" s="158">
        <v>610400</v>
      </c>
      <c r="B132" s="174">
        <v>0</v>
      </c>
      <c r="C132" s="174">
        <v>0</v>
      </c>
      <c r="D132" s="174">
        <v>0</v>
      </c>
      <c r="E132" s="174">
        <v>0</v>
      </c>
      <c r="F132" s="174">
        <v>0</v>
      </c>
      <c r="G132" s="174">
        <v>0</v>
      </c>
      <c r="H132" s="174">
        <v>0</v>
      </c>
      <c r="I132" s="174">
        <v>0</v>
      </c>
      <c r="J132" s="174">
        <v>0</v>
      </c>
      <c r="K132" s="340">
        <v>0</v>
      </c>
      <c r="L132" s="174">
        <v>0</v>
      </c>
      <c r="M132" s="174">
        <v>0</v>
      </c>
      <c r="N132" s="340">
        <v>0</v>
      </c>
      <c r="O132" s="174">
        <v>0</v>
      </c>
      <c r="P132" s="174">
        <f>10000-10000</f>
        <v>0</v>
      </c>
      <c r="Q132" s="324">
        <f>SUM(B132:P132)</f>
        <v>0</v>
      </c>
    </row>
    <row r="133" spans="1:17" ht="18.75">
      <c r="A133" s="72" t="s">
        <v>18</v>
      </c>
      <c r="B133" s="73">
        <f aca="true" t="shared" si="18" ref="B133:Q133">SUM(B131:B132)</f>
        <v>0</v>
      </c>
      <c r="C133" s="73">
        <f t="shared" si="18"/>
        <v>0</v>
      </c>
      <c r="D133" s="73">
        <f t="shared" si="18"/>
        <v>0</v>
      </c>
      <c r="E133" s="73">
        <f t="shared" si="18"/>
        <v>0</v>
      </c>
      <c r="F133" s="73">
        <f t="shared" si="18"/>
        <v>0</v>
      </c>
      <c r="G133" s="73">
        <f t="shared" si="18"/>
        <v>0</v>
      </c>
      <c r="H133" s="73">
        <f t="shared" si="18"/>
        <v>0</v>
      </c>
      <c r="I133" s="73">
        <f t="shared" si="18"/>
        <v>0</v>
      </c>
      <c r="J133" s="73">
        <f t="shared" si="18"/>
        <v>0</v>
      </c>
      <c r="K133" s="73">
        <f t="shared" si="18"/>
        <v>0</v>
      </c>
      <c r="L133" s="73">
        <f t="shared" si="18"/>
        <v>0</v>
      </c>
      <c r="M133" s="73">
        <f t="shared" si="18"/>
        <v>0</v>
      </c>
      <c r="N133" s="73">
        <f t="shared" si="18"/>
        <v>0</v>
      </c>
      <c r="O133" s="73">
        <f t="shared" si="18"/>
        <v>0</v>
      </c>
      <c r="P133" s="73">
        <f t="shared" si="18"/>
        <v>0</v>
      </c>
      <c r="Q133" s="73">
        <f t="shared" si="18"/>
        <v>0</v>
      </c>
    </row>
    <row r="134" spans="1:17" s="79" customFormat="1" ht="18.75">
      <c r="A134" s="72" t="s">
        <v>19</v>
      </c>
      <c r="B134" s="73">
        <v>0</v>
      </c>
      <c r="C134" s="73">
        <f>0</f>
        <v>0</v>
      </c>
      <c r="D134" s="73">
        <v>0</v>
      </c>
      <c r="E134" s="73">
        <v>0</v>
      </c>
      <c r="F134" s="73">
        <v>465400</v>
      </c>
      <c r="G134" s="73">
        <v>0</v>
      </c>
      <c r="H134" s="73">
        <v>0</v>
      </c>
      <c r="I134" s="73">
        <f>0</f>
        <v>0</v>
      </c>
      <c r="J134" s="73">
        <f>0</f>
        <v>0</v>
      </c>
      <c r="K134" s="73">
        <v>0</v>
      </c>
      <c r="L134" s="73">
        <f>0</f>
        <v>0</v>
      </c>
      <c r="M134" s="73">
        <v>5000</v>
      </c>
      <c r="N134" s="73">
        <v>0</v>
      </c>
      <c r="O134" s="73">
        <v>0</v>
      </c>
      <c r="P134" s="73">
        <f>0</f>
        <v>0</v>
      </c>
      <c r="Q134" s="324">
        <f>SUM(B134:P134)</f>
        <v>470400</v>
      </c>
    </row>
    <row r="135" spans="1:17" ht="18.75">
      <c r="A135" s="72" t="s">
        <v>70</v>
      </c>
      <c r="B135" s="74">
        <f aca="true" t="shared" si="19" ref="B135:P135">B14+B22+B31+B48+B56+B90+B97+B119+B124+B128+B133</f>
        <v>448117.43000000005</v>
      </c>
      <c r="C135" s="74">
        <f t="shared" si="19"/>
        <v>135363</v>
      </c>
      <c r="D135" s="74">
        <f t="shared" si="19"/>
        <v>2800</v>
      </c>
      <c r="E135" s="74">
        <f t="shared" si="19"/>
        <v>427284</v>
      </c>
      <c r="F135" s="74">
        <f t="shared" si="19"/>
        <v>322040</v>
      </c>
      <c r="G135" s="74">
        <f t="shared" si="19"/>
        <v>5700</v>
      </c>
      <c r="H135" s="74">
        <f t="shared" si="19"/>
        <v>0</v>
      </c>
      <c r="I135" s="74">
        <f t="shared" si="19"/>
        <v>127572</v>
      </c>
      <c r="J135" s="74">
        <f t="shared" si="19"/>
        <v>1059495</v>
      </c>
      <c r="K135" s="74">
        <f t="shared" si="19"/>
        <v>0</v>
      </c>
      <c r="L135" s="74">
        <f t="shared" si="19"/>
        <v>0</v>
      </c>
      <c r="M135" s="74">
        <f t="shared" si="19"/>
        <v>0</v>
      </c>
      <c r="N135" s="74">
        <f t="shared" si="19"/>
        <v>3500</v>
      </c>
      <c r="O135" s="74">
        <f t="shared" si="19"/>
        <v>43184.94</v>
      </c>
      <c r="P135" s="74">
        <f t="shared" si="19"/>
        <v>58949</v>
      </c>
      <c r="Q135" s="74">
        <f>SUM(B135:P135)</f>
        <v>2634005.37</v>
      </c>
    </row>
    <row r="136" spans="1:19" s="79" customFormat="1" ht="18.75">
      <c r="A136" s="72" t="s">
        <v>71</v>
      </c>
      <c r="B136" s="74">
        <f aca="true" t="shared" si="20" ref="B136:P136">B15+B23+B32+B49+B57+B91+B98+B120+B125+B129+B134</f>
        <v>3530928.7</v>
      </c>
      <c r="C136" s="74">
        <f t="shared" si="20"/>
        <v>803049.87</v>
      </c>
      <c r="D136" s="74">
        <f t="shared" si="20"/>
        <v>89487</v>
      </c>
      <c r="E136" s="74">
        <f t="shared" si="20"/>
        <v>427284</v>
      </c>
      <c r="F136" s="74">
        <f t="shared" si="20"/>
        <v>1155480</v>
      </c>
      <c r="G136" s="74">
        <f t="shared" si="20"/>
        <v>45600</v>
      </c>
      <c r="H136" s="74">
        <f t="shared" si="20"/>
        <v>0</v>
      </c>
      <c r="I136" s="74">
        <f t="shared" si="20"/>
        <v>1033730</v>
      </c>
      <c r="J136" s="74">
        <f t="shared" si="20"/>
        <v>1338545</v>
      </c>
      <c r="K136" s="74">
        <f t="shared" si="20"/>
        <v>15975</v>
      </c>
      <c r="L136" s="74">
        <f t="shared" si="20"/>
        <v>18550</v>
      </c>
      <c r="M136" s="74">
        <f t="shared" si="20"/>
        <v>5000</v>
      </c>
      <c r="N136" s="74">
        <f t="shared" si="20"/>
        <v>3500</v>
      </c>
      <c r="O136" s="74">
        <f t="shared" si="20"/>
        <v>285719.63</v>
      </c>
      <c r="P136" s="74">
        <f t="shared" si="20"/>
        <v>1297236.37</v>
      </c>
      <c r="Q136" s="74">
        <f>SUM(B136:P136)</f>
        <v>10050085.57</v>
      </c>
      <c r="S136" s="173"/>
    </row>
    <row r="137" spans="1:17" s="79" customFormat="1" ht="21" customHeight="1">
      <c r="A137" s="78"/>
      <c r="B137" s="332"/>
      <c r="C137" s="538" t="s">
        <v>7</v>
      </c>
      <c r="D137" s="538"/>
      <c r="E137" s="85"/>
      <c r="F137" s="85"/>
      <c r="G137" s="85"/>
      <c r="H137" s="212"/>
      <c r="I137" s="538" t="s">
        <v>98</v>
      </c>
      <c r="J137" s="538"/>
      <c r="K137" s="538"/>
      <c r="L137" s="332"/>
      <c r="M137" s="332"/>
      <c r="N137" s="332"/>
      <c r="O137" s="332"/>
      <c r="P137" s="332"/>
      <c r="Q137" s="333"/>
    </row>
    <row r="138" spans="1:17" s="79" customFormat="1" ht="21" customHeight="1">
      <c r="A138" s="78"/>
      <c r="B138" s="80"/>
      <c r="C138" s="85"/>
      <c r="D138" s="85"/>
      <c r="E138" s="85"/>
      <c r="F138" s="85"/>
      <c r="G138" s="85"/>
      <c r="H138" s="80"/>
      <c r="I138" s="85"/>
      <c r="J138" s="85"/>
      <c r="K138" s="85"/>
      <c r="L138" s="80"/>
      <c r="M138" s="80"/>
      <c r="N138" s="80"/>
      <c r="O138" s="80"/>
      <c r="P138" s="80"/>
      <c r="Q138" s="83"/>
    </row>
    <row r="139" spans="1:17" s="79" customFormat="1" ht="21" customHeight="1">
      <c r="A139" s="78"/>
      <c r="B139" s="80"/>
      <c r="C139" s="538" t="s">
        <v>115</v>
      </c>
      <c r="D139" s="538"/>
      <c r="E139" s="85"/>
      <c r="F139" s="85"/>
      <c r="G139" s="85"/>
      <c r="H139" s="85"/>
      <c r="I139" s="538" t="s">
        <v>306</v>
      </c>
      <c r="J139" s="538"/>
      <c r="K139" s="538"/>
      <c r="L139" s="80"/>
      <c r="M139" s="80"/>
      <c r="N139" s="80"/>
      <c r="O139" s="80"/>
      <c r="P139" s="80"/>
      <c r="Q139" s="83"/>
    </row>
    <row r="140" spans="1:17" s="79" customFormat="1" ht="21" customHeight="1">
      <c r="A140" s="78"/>
      <c r="B140" s="80"/>
      <c r="C140" s="538" t="s">
        <v>329</v>
      </c>
      <c r="D140" s="538"/>
      <c r="E140" s="85"/>
      <c r="F140" s="85"/>
      <c r="G140" s="85"/>
      <c r="H140" s="85"/>
      <c r="I140" s="538" t="s">
        <v>97</v>
      </c>
      <c r="J140" s="538"/>
      <c r="K140" s="538"/>
      <c r="L140" s="80"/>
      <c r="M140" s="80"/>
      <c r="N140" s="80"/>
      <c r="O140" s="80"/>
      <c r="P140" s="80"/>
      <c r="Q140" s="83"/>
    </row>
    <row r="141" spans="9:11" ht="21" customHeight="1">
      <c r="I141" s="538"/>
      <c r="J141" s="538"/>
      <c r="K141" s="538"/>
    </row>
  </sheetData>
  <mergeCells count="49">
    <mergeCell ref="I104:K104"/>
    <mergeCell ref="I141:K141"/>
    <mergeCell ref="B4:C4"/>
    <mergeCell ref="I38:J38"/>
    <mergeCell ref="B38:C38"/>
    <mergeCell ref="C33:D33"/>
    <mergeCell ref="E4:F4"/>
    <mergeCell ref="E110:F110"/>
    <mergeCell ref="C59:D59"/>
    <mergeCell ref="A1:Q1"/>
    <mergeCell ref="A2:Q2"/>
    <mergeCell ref="A3:Q3"/>
    <mergeCell ref="A37:Q37"/>
    <mergeCell ref="I4:J4"/>
    <mergeCell ref="C35:D35"/>
    <mergeCell ref="C36:D36"/>
    <mergeCell ref="I33:K33"/>
    <mergeCell ref="I35:K35"/>
    <mergeCell ref="I36:K36"/>
    <mergeCell ref="C63:D63"/>
    <mergeCell ref="L74:M74"/>
    <mergeCell ref="E74:F74"/>
    <mergeCell ref="E38:F38"/>
    <mergeCell ref="C102:D102"/>
    <mergeCell ref="A73:Q73"/>
    <mergeCell ref="C64:D64"/>
    <mergeCell ref="C99:D99"/>
    <mergeCell ref="B74:C74"/>
    <mergeCell ref="I64:K64"/>
    <mergeCell ref="C139:D139"/>
    <mergeCell ref="A109:Q109"/>
    <mergeCell ref="I59:K59"/>
    <mergeCell ref="I62:K62"/>
    <mergeCell ref="I63:K63"/>
    <mergeCell ref="I99:K99"/>
    <mergeCell ref="I74:J74"/>
    <mergeCell ref="B110:C110"/>
    <mergeCell ref="I110:J110"/>
    <mergeCell ref="C103:D103"/>
    <mergeCell ref="L110:M110"/>
    <mergeCell ref="L38:M38"/>
    <mergeCell ref="I140:K140"/>
    <mergeCell ref="C62:D62"/>
    <mergeCell ref="I102:K102"/>
    <mergeCell ref="I103:K103"/>
    <mergeCell ref="I137:K137"/>
    <mergeCell ref="I139:K139"/>
    <mergeCell ref="C140:D140"/>
    <mergeCell ref="C137:D137"/>
  </mergeCells>
  <printOptions/>
  <pageMargins left="0.051181102" right="0" top="0.1" bottom="0.05" header="0.261811024" footer="0.261811024"/>
  <pageSetup horizontalDpi="180" verticalDpi="180" orientation="landscape" paperSize="9" scale="82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2"/>
  <sheetViews>
    <sheetView view="pageBreakPreview" zoomScaleSheetLayoutView="100" workbookViewId="0" topLeftCell="A127">
      <selection activeCell="F35" sqref="F35"/>
    </sheetView>
  </sheetViews>
  <sheetFormatPr defaultColWidth="9.140625" defaultRowHeight="21.75"/>
  <cols>
    <col min="1" max="1" width="21.421875" style="128" customWidth="1"/>
    <col min="2" max="3" width="11.140625" style="128" bestFit="1" customWidth="1"/>
    <col min="4" max="4" width="9.8515625" style="128" bestFit="1" customWidth="1"/>
    <col min="5" max="6" width="11.140625" style="128" bestFit="1" customWidth="1"/>
    <col min="7" max="7" width="9.8515625" style="128" bestFit="1" customWidth="1"/>
    <col min="8" max="10" width="11.140625" style="128" bestFit="1" customWidth="1"/>
    <col min="11" max="11" width="9.8515625" style="128" bestFit="1" customWidth="1"/>
    <col min="12" max="12" width="9.8515625" style="128" customWidth="1"/>
    <col min="13" max="13" width="9.8515625" style="128" bestFit="1" customWidth="1"/>
    <col min="14" max="14" width="10.00390625" style="128" bestFit="1" customWidth="1"/>
    <col min="15" max="16" width="9.8515625" style="128" bestFit="1" customWidth="1"/>
    <col min="17" max="17" width="11.140625" style="128" bestFit="1" customWidth="1"/>
    <col min="18" max="18" width="12.00390625" style="128" bestFit="1" customWidth="1"/>
    <col min="19" max="16384" width="9.140625" style="128" customWidth="1"/>
  </cols>
  <sheetData>
    <row r="1" spans="1:18" ht="23.25">
      <c r="A1" s="551" t="s">
        <v>13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</row>
    <row r="2" spans="1:18" ht="23.25">
      <c r="A2" s="551" t="s">
        <v>100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</row>
    <row r="3" spans="1:18" ht="24" thickBot="1">
      <c r="A3" s="552" t="s">
        <v>335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</row>
    <row r="4" spans="1:18" s="134" customFormat="1" ht="21" customHeight="1">
      <c r="A4" s="129" t="s">
        <v>15</v>
      </c>
      <c r="B4" s="544" t="s">
        <v>79</v>
      </c>
      <c r="C4" s="545"/>
      <c r="D4" s="435" t="s">
        <v>82</v>
      </c>
      <c r="E4" s="544" t="s">
        <v>88</v>
      </c>
      <c r="F4" s="545"/>
      <c r="G4" s="130" t="s">
        <v>89</v>
      </c>
      <c r="H4" s="131" t="s">
        <v>92</v>
      </c>
      <c r="I4" s="544" t="s">
        <v>83</v>
      </c>
      <c r="J4" s="545"/>
      <c r="K4" s="132" t="s">
        <v>93</v>
      </c>
      <c r="L4" s="544" t="s">
        <v>84</v>
      </c>
      <c r="M4" s="546"/>
      <c r="N4" s="545"/>
      <c r="O4" s="132" t="s">
        <v>96</v>
      </c>
      <c r="P4" s="132" t="s">
        <v>112</v>
      </c>
      <c r="Q4" s="130" t="s">
        <v>77</v>
      </c>
      <c r="R4" s="133" t="s">
        <v>16</v>
      </c>
    </row>
    <row r="5" spans="1:18" s="134" customFormat="1" ht="21" customHeight="1" thickBot="1">
      <c r="A5" s="135" t="s">
        <v>17</v>
      </c>
      <c r="B5" s="137" t="s">
        <v>80</v>
      </c>
      <c r="C5" s="138" t="s">
        <v>81</v>
      </c>
      <c r="D5" s="136" t="s">
        <v>73</v>
      </c>
      <c r="E5" s="137" t="s">
        <v>87</v>
      </c>
      <c r="F5" s="137" t="s">
        <v>107</v>
      </c>
      <c r="G5" s="137" t="s">
        <v>90</v>
      </c>
      <c r="H5" s="140" t="s">
        <v>290</v>
      </c>
      <c r="I5" s="136" t="s">
        <v>75</v>
      </c>
      <c r="J5" s="136" t="s">
        <v>76</v>
      </c>
      <c r="K5" s="141" t="s">
        <v>289</v>
      </c>
      <c r="L5" s="432" t="s">
        <v>129</v>
      </c>
      <c r="M5" s="138" t="s">
        <v>85</v>
      </c>
      <c r="N5" s="139" t="s">
        <v>86</v>
      </c>
      <c r="O5" s="141" t="s">
        <v>95</v>
      </c>
      <c r="P5" s="141" t="s">
        <v>113</v>
      </c>
      <c r="Q5" s="136" t="s">
        <v>78</v>
      </c>
      <c r="R5" s="142"/>
    </row>
    <row r="6" spans="1:18" s="148" customFormat="1" ht="21" customHeight="1">
      <c r="A6" s="143" t="s">
        <v>206</v>
      </c>
      <c r="B6" s="144"/>
      <c r="C6" s="145"/>
      <c r="D6" s="144"/>
      <c r="E6" s="145"/>
      <c r="F6" s="145"/>
      <c r="G6" s="145"/>
      <c r="H6" s="146"/>
      <c r="I6" s="144"/>
      <c r="J6" s="144"/>
      <c r="K6" s="147"/>
      <c r="L6" s="433"/>
      <c r="M6" s="144"/>
      <c r="N6" s="146"/>
      <c r="O6" s="147"/>
      <c r="P6" s="147"/>
      <c r="Q6" s="144"/>
      <c r="R6" s="147"/>
    </row>
    <row r="7" spans="1:18" s="148" customFormat="1" ht="21" customHeight="1">
      <c r="A7" s="149" t="s">
        <v>137</v>
      </c>
      <c r="B7" s="151">
        <v>0</v>
      </c>
      <c r="C7" s="151">
        <v>0</v>
      </c>
      <c r="D7" s="151">
        <v>0</v>
      </c>
      <c r="E7" s="151">
        <v>0</v>
      </c>
      <c r="F7" s="151">
        <v>0</v>
      </c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>
        <v>0</v>
      </c>
      <c r="M7" s="151">
        <v>0</v>
      </c>
      <c r="N7" s="151">
        <v>0</v>
      </c>
      <c r="O7" s="151">
        <v>0</v>
      </c>
      <c r="P7" s="151">
        <v>0</v>
      </c>
      <c r="Q7" s="151">
        <f>167577-46948-12372-12372-25449</f>
        <v>70436</v>
      </c>
      <c r="R7" s="151">
        <f aca="true" t="shared" si="0" ref="R7:R14">SUM(B7:Q7)</f>
        <v>70436</v>
      </c>
    </row>
    <row r="8" spans="1:18" s="148" customFormat="1" ht="21" customHeight="1">
      <c r="A8" s="149" t="s">
        <v>202</v>
      </c>
      <c r="B8" s="151">
        <v>0</v>
      </c>
      <c r="C8" s="151">
        <v>0</v>
      </c>
      <c r="D8" s="151">
        <v>0</v>
      </c>
      <c r="E8" s="151">
        <v>0</v>
      </c>
      <c r="F8" s="151">
        <v>0</v>
      </c>
      <c r="G8" s="151">
        <v>0</v>
      </c>
      <c r="H8" s="151">
        <v>0</v>
      </c>
      <c r="I8" s="151">
        <v>0</v>
      </c>
      <c r="J8" s="151">
        <v>0</v>
      </c>
      <c r="K8" s="151">
        <v>0</v>
      </c>
      <c r="L8" s="151">
        <v>0</v>
      </c>
      <c r="M8" s="151">
        <v>0</v>
      </c>
      <c r="N8" s="151">
        <v>0</v>
      </c>
      <c r="O8" s="151">
        <v>0</v>
      </c>
      <c r="P8" s="151">
        <v>0</v>
      </c>
      <c r="Q8" s="151">
        <f>1074000-94000-31500-35000+4500-30500-300000-3000-150000-10000-24000</f>
        <v>400500</v>
      </c>
      <c r="R8" s="151">
        <f t="shared" si="0"/>
        <v>400500</v>
      </c>
    </row>
    <row r="9" spans="1:18" s="148" customFormat="1" ht="21" customHeight="1">
      <c r="A9" s="149" t="s">
        <v>203</v>
      </c>
      <c r="B9" s="151">
        <v>0</v>
      </c>
      <c r="C9" s="151">
        <v>0</v>
      </c>
      <c r="D9" s="151">
        <v>0</v>
      </c>
      <c r="E9" s="151">
        <v>0</v>
      </c>
      <c r="F9" s="151">
        <v>0</v>
      </c>
      <c r="G9" s="151">
        <v>0</v>
      </c>
      <c r="H9" s="151">
        <v>0</v>
      </c>
      <c r="I9" s="151">
        <v>0</v>
      </c>
      <c r="J9" s="151">
        <v>0</v>
      </c>
      <c r="K9" s="151">
        <v>0</v>
      </c>
      <c r="L9" s="151">
        <v>0</v>
      </c>
      <c r="M9" s="151">
        <v>0</v>
      </c>
      <c r="N9" s="151">
        <v>0</v>
      </c>
      <c r="O9" s="151">
        <v>0</v>
      </c>
      <c r="P9" s="151">
        <v>0</v>
      </c>
      <c r="Q9" s="151">
        <f>354000-46500-15500-15500-15500-31000-15500</f>
        <v>214500</v>
      </c>
      <c r="R9" s="151">
        <f t="shared" si="0"/>
        <v>214500</v>
      </c>
    </row>
    <row r="10" spans="1:18" s="148" customFormat="1" ht="21" customHeight="1">
      <c r="A10" s="149" t="s">
        <v>291</v>
      </c>
      <c r="B10" s="151">
        <v>0</v>
      </c>
      <c r="C10" s="151">
        <v>0</v>
      </c>
      <c r="D10" s="151">
        <v>0</v>
      </c>
      <c r="E10" s="151">
        <v>0</v>
      </c>
      <c r="F10" s="151">
        <v>0</v>
      </c>
      <c r="G10" s="151">
        <v>0</v>
      </c>
      <c r="H10" s="151">
        <v>0</v>
      </c>
      <c r="I10" s="151">
        <v>0</v>
      </c>
      <c r="J10" s="151">
        <v>0</v>
      </c>
      <c r="K10" s="151">
        <v>0</v>
      </c>
      <c r="L10" s="151">
        <v>0</v>
      </c>
      <c r="M10" s="151">
        <v>0</v>
      </c>
      <c r="N10" s="151">
        <v>0</v>
      </c>
      <c r="O10" s="151">
        <v>0</v>
      </c>
      <c r="P10" s="151">
        <v>0</v>
      </c>
      <c r="Q10" s="151">
        <f>18000-4500-1500-1500-1500-3000-1500</f>
        <v>4500</v>
      </c>
      <c r="R10" s="151">
        <f t="shared" si="0"/>
        <v>4500</v>
      </c>
    </row>
    <row r="11" spans="1:18" s="148" customFormat="1" ht="21" customHeight="1">
      <c r="A11" s="149" t="s">
        <v>247</v>
      </c>
      <c r="B11" s="151">
        <v>0</v>
      </c>
      <c r="C11" s="151">
        <v>0</v>
      </c>
      <c r="D11" s="151">
        <v>0</v>
      </c>
      <c r="E11" s="151">
        <v>0</v>
      </c>
      <c r="F11" s="151">
        <v>0</v>
      </c>
      <c r="G11" s="151">
        <v>0</v>
      </c>
      <c r="H11" s="151">
        <v>0</v>
      </c>
      <c r="I11" s="151">
        <v>0</v>
      </c>
      <c r="J11" s="151">
        <v>0</v>
      </c>
      <c r="K11" s="151">
        <v>0</v>
      </c>
      <c r="L11" s="151">
        <v>0</v>
      </c>
      <c r="M11" s="151">
        <v>0</v>
      </c>
      <c r="N11" s="151">
        <v>0</v>
      </c>
      <c r="O11" s="151">
        <v>0</v>
      </c>
      <c r="P11" s="151">
        <v>0</v>
      </c>
      <c r="Q11" s="151">
        <f>659432-247760-13800-374046.37-14000+300000-19200</f>
        <v>290625.63</v>
      </c>
      <c r="R11" s="151">
        <f t="shared" si="0"/>
        <v>290625.63</v>
      </c>
    </row>
    <row r="12" spans="1:18" s="148" customFormat="1" ht="21" customHeight="1">
      <c r="A12" s="149" t="s">
        <v>204</v>
      </c>
      <c r="B12" s="151">
        <v>0</v>
      </c>
      <c r="C12" s="151">
        <v>0</v>
      </c>
      <c r="D12" s="151">
        <v>0</v>
      </c>
      <c r="E12" s="151">
        <v>0</v>
      </c>
      <c r="F12" s="151">
        <v>0</v>
      </c>
      <c r="G12" s="151">
        <v>0</v>
      </c>
      <c r="H12" s="151">
        <v>0</v>
      </c>
      <c r="I12" s="151">
        <v>0</v>
      </c>
      <c r="J12" s="151">
        <v>0</v>
      </c>
      <c r="K12" s="151">
        <v>0</v>
      </c>
      <c r="L12" s="151">
        <v>0</v>
      </c>
      <c r="M12" s="151">
        <v>0</v>
      </c>
      <c r="N12" s="151">
        <v>0</v>
      </c>
      <c r="O12" s="151">
        <v>0</v>
      </c>
      <c r="P12" s="151">
        <v>0</v>
      </c>
      <c r="Q12" s="151">
        <f>85000+60000+20000+864-60864-14710-16500</f>
        <v>73790</v>
      </c>
      <c r="R12" s="151">
        <f t="shared" si="0"/>
        <v>73790</v>
      </c>
    </row>
    <row r="13" spans="1:18" s="148" customFormat="1" ht="21" customHeight="1">
      <c r="A13" s="149" t="s">
        <v>205</v>
      </c>
      <c r="B13" s="151">
        <v>0</v>
      </c>
      <c r="C13" s="151">
        <v>0</v>
      </c>
      <c r="D13" s="151">
        <v>0</v>
      </c>
      <c r="E13" s="151">
        <v>0</v>
      </c>
      <c r="F13" s="151">
        <v>0</v>
      </c>
      <c r="G13" s="151">
        <v>0</v>
      </c>
      <c r="H13" s="151">
        <v>0</v>
      </c>
      <c r="I13" s="151">
        <v>0</v>
      </c>
      <c r="J13" s="151">
        <v>0</v>
      </c>
      <c r="K13" s="151">
        <v>0</v>
      </c>
      <c r="L13" s="151">
        <v>0</v>
      </c>
      <c r="M13" s="151">
        <v>0</v>
      </c>
      <c r="N13" s="151">
        <v>0</v>
      </c>
      <c r="O13" s="151">
        <v>0</v>
      </c>
      <c r="P13" s="151">
        <v>0</v>
      </c>
      <c r="Q13" s="151">
        <f>99715-99715</f>
        <v>0</v>
      </c>
      <c r="R13" s="151">
        <f t="shared" si="0"/>
        <v>0</v>
      </c>
    </row>
    <row r="14" spans="1:18" s="154" customFormat="1" ht="21" customHeight="1">
      <c r="A14" s="152" t="s">
        <v>18</v>
      </c>
      <c r="B14" s="153">
        <f aca="true" t="shared" si="1" ref="B14:Q14">SUM(B7:B13)</f>
        <v>0</v>
      </c>
      <c r="C14" s="153">
        <f t="shared" si="1"/>
        <v>0</v>
      </c>
      <c r="D14" s="153">
        <f t="shared" si="1"/>
        <v>0</v>
      </c>
      <c r="E14" s="153">
        <f t="shared" si="1"/>
        <v>0</v>
      </c>
      <c r="F14" s="153">
        <f t="shared" si="1"/>
        <v>0</v>
      </c>
      <c r="G14" s="153">
        <f t="shared" si="1"/>
        <v>0</v>
      </c>
      <c r="H14" s="153">
        <f t="shared" si="1"/>
        <v>0</v>
      </c>
      <c r="I14" s="153">
        <f t="shared" si="1"/>
        <v>0</v>
      </c>
      <c r="J14" s="153">
        <f t="shared" si="1"/>
        <v>0</v>
      </c>
      <c r="K14" s="153">
        <f t="shared" si="1"/>
        <v>0</v>
      </c>
      <c r="L14" s="153">
        <f t="shared" si="1"/>
        <v>0</v>
      </c>
      <c r="M14" s="153">
        <f t="shared" si="1"/>
        <v>0</v>
      </c>
      <c r="N14" s="153">
        <f t="shared" si="1"/>
        <v>0</v>
      </c>
      <c r="O14" s="153">
        <f t="shared" si="1"/>
        <v>0</v>
      </c>
      <c r="P14" s="153">
        <f t="shared" si="1"/>
        <v>0</v>
      </c>
      <c r="Q14" s="153">
        <f t="shared" si="1"/>
        <v>1054351.63</v>
      </c>
      <c r="R14" s="151">
        <f t="shared" si="0"/>
        <v>1054351.63</v>
      </c>
    </row>
    <row r="15" spans="1:18" s="148" customFormat="1" ht="21" customHeight="1">
      <c r="A15" s="155">
        <v>521000</v>
      </c>
      <c r="B15" s="156"/>
      <c r="C15" s="157"/>
      <c r="D15" s="156"/>
      <c r="E15" s="157"/>
      <c r="F15" s="157"/>
      <c r="G15" s="157"/>
      <c r="H15" s="156"/>
      <c r="I15" s="156"/>
      <c r="J15" s="156"/>
      <c r="K15" s="151"/>
      <c r="L15" s="156"/>
      <c r="M15" s="156"/>
      <c r="N15" s="156"/>
      <c r="O15" s="151"/>
      <c r="P15" s="151"/>
      <c r="Q15" s="153"/>
      <c r="R15" s="151"/>
    </row>
    <row r="16" spans="1:18" s="148" customFormat="1" ht="21" customHeight="1">
      <c r="A16" s="158">
        <v>210100</v>
      </c>
      <c r="B16" s="150">
        <f>206400-17200-17200-17200-34440-34440-34440-34440+155400-34440-34440</f>
        <v>103560</v>
      </c>
      <c r="C16" s="150">
        <v>0</v>
      </c>
      <c r="D16" s="150">
        <v>0</v>
      </c>
      <c r="E16" s="150">
        <v>0</v>
      </c>
      <c r="F16" s="150">
        <v>0</v>
      </c>
      <c r="G16" s="150">
        <v>0</v>
      </c>
      <c r="H16" s="150">
        <v>0</v>
      </c>
      <c r="I16" s="150">
        <v>0</v>
      </c>
      <c r="J16" s="150">
        <v>0</v>
      </c>
      <c r="K16" s="150">
        <v>0</v>
      </c>
      <c r="L16" s="150">
        <v>0</v>
      </c>
      <c r="M16" s="150">
        <v>0</v>
      </c>
      <c r="N16" s="150">
        <v>0</v>
      </c>
      <c r="O16" s="150">
        <v>0</v>
      </c>
      <c r="P16" s="150">
        <v>0</v>
      </c>
      <c r="Q16" s="150">
        <v>0</v>
      </c>
      <c r="R16" s="151">
        <f aca="true" t="shared" si="2" ref="R16:R21">SUM(B16:Q16)</f>
        <v>103560</v>
      </c>
    </row>
    <row r="17" spans="1:18" s="148" customFormat="1" ht="21" customHeight="1">
      <c r="A17" s="158">
        <v>210200</v>
      </c>
      <c r="B17" s="150">
        <f>38400-3200-3200-3200-3200-3200-3200-3200-3200-3200</f>
        <v>9600</v>
      </c>
      <c r="C17" s="150">
        <v>0</v>
      </c>
      <c r="D17" s="150">
        <v>0</v>
      </c>
      <c r="E17" s="150">
        <v>0</v>
      </c>
      <c r="F17" s="150">
        <v>0</v>
      </c>
      <c r="G17" s="150">
        <v>0</v>
      </c>
      <c r="H17" s="150">
        <v>0</v>
      </c>
      <c r="I17" s="150">
        <v>0</v>
      </c>
      <c r="J17" s="150">
        <v>0</v>
      </c>
      <c r="K17" s="150">
        <v>0</v>
      </c>
      <c r="L17" s="150">
        <v>0</v>
      </c>
      <c r="M17" s="150">
        <v>0</v>
      </c>
      <c r="N17" s="150">
        <v>0</v>
      </c>
      <c r="O17" s="150">
        <v>0</v>
      </c>
      <c r="P17" s="150">
        <v>0</v>
      </c>
      <c r="Q17" s="150">
        <v>0</v>
      </c>
      <c r="R17" s="151">
        <f t="shared" si="2"/>
        <v>9600</v>
      </c>
    </row>
    <row r="18" spans="1:18" s="148" customFormat="1" ht="21" customHeight="1">
      <c r="A18" s="158">
        <v>210300</v>
      </c>
      <c r="B18" s="150">
        <f>38400-3200-3200-3200-3200-3200-3200-3200-3200-3200</f>
        <v>9600</v>
      </c>
      <c r="C18" s="150">
        <v>0</v>
      </c>
      <c r="D18" s="150">
        <v>0</v>
      </c>
      <c r="E18" s="150">
        <v>0</v>
      </c>
      <c r="F18" s="150">
        <v>0</v>
      </c>
      <c r="G18" s="150">
        <v>0</v>
      </c>
      <c r="H18" s="150">
        <v>0</v>
      </c>
      <c r="I18" s="150">
        <v>0</v>
      </c>
      <c r="J18" s="150">
        <v>0</v>
      </c>
      <c r="K18" s="150">
        <v>0</v>
      </c>
      <c r="L18" s="150">
        <v>0</v>
      </c>
      <c r="M18" s="150">
        <v>0</v>
      </c>
      <c r="N18" s="150">
        <v>0</v>
      </c>
      <c r="O18" s="150">
        <v>0</v>
      </c>
      <c r="P18" s="150">
        <v>0</v>
      </c>
      <c r="Q18" s="150">
        <v>0</v>
      </c>
      <c r="R18" s="151">
        <f t="shared" si="2"/>
        <v>9600</v>
      </c>
    </row>
    <row r="19" spans="1:18" s="148" customFormat="1" ht="21" customHeight="1">
      <c r="A19" s="158">
        <v>210400</v>
      </c>
      <c r="B19" s="150">
        <f>68400-68000</f>
        <v>400</v>
      </c>
      <c r="C19" s="150">
        <v>0</v>
      </c>
      <c r="D19" s="150">
        <v>0</v>
      </c>
      <c r="E19" s="150">
        <v>0</v>
      </c>
      <c r="F19" s="150">
        <v>0</v>
      </c>
      <c r="G19" s="150">
        <v>0</v>
      </c>
      <c r="H19" s="150">
        <v>0</v>
      </c>
      <c r="I19" s="150">
        <v>0</v>
      </c>
      <c r="J19" s="150">
        <v>0</v>
      </c>
      <c r="K19" s="150">
        <v>0</v>
      </c>
      <c r="L19" s="150">
        <v>0</v>
      </c>
      <c r="M19" s="150">
        <v>0</v>
      </c>
      <c r="N19" s="150">
        <v>0</v>
      </c>
      <c r="O19" s="150">
        <v>0</v>
      </c>
      <c r="P19" s="150">
        <v>0</v>
      </c>
      <c r="Q19" s="150">
        <v>0</v>
      </c>
      <c r="R19" s="151">
        <f t="shared" si="2"/>
        <v>400</v>
      </c>
    </row>
    <row r="20" spans="1:18" s="148" customFormat="1" ht="21" customHeight="1">
      <c r="A20" s="158">
        <v>210600</v>
      </c>
      <c r="B20" s="150">
        <f>1063800-83750-83750-83750-96760-96760-96760-96760-96760-96760+58290</f>
        <v>290280</v>
      </c>
      <c r="C20" s="150">
        <v>0</v>
      </c>
      <c r="D20" s="150">
        <v>0</v>
      </c>
      <c r="E20" s="150">
        <v>0</v>
      </c>
      <c r="F20" s="150">
        <v>0</v>
      </c>
      <c r="G20" s="150">
        <v>0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150">
        <v>0</v>
      </c>
      <c r="O20" s="150">
        <v>0</v>
      </c>
      <c r="P20" s="150">
        <v>0</v>
      </c>
      <c r="Q20" s="150">
        <v>0</v>
      </c>
      <c r="R20" s="151">
        <f t="shared" si="2"/>
        <v>290280</v>
      </c>
    </row>
    <row r="21" spans="1:18" s="148" customFormat="1" ht="21" customHeight="1">
      <c r="A21" s="152" t="s">
        <v>18</v>
      </c>
      <c r="B21" s="153">
        <f aca="true" t="shared" si="3" ref="B21:Q21">SUM(B16:B20)</f>
        <v>413440</v>
      </c>
      <c r="C21" s="153">
        <f t="shared" si="3"/>
        <v>0</v>
      </c>
      <c r="D21" s="153">
        <f t="shared" si="3"/>
        <v>0</v>
      </c>
      <c r="E21" s="153">
        <f t="shared" si="3"/>
        <v>0</v>
      </c>
      <c r="F21" s="153">
        <f t="shared" si="3"/>
        <v>0</v>
      </c>
      <c r="G21" s="153">
        <f t="shared" si="3"/>
        <v>0</v>
      </c>
      <c r="H21" s="153">
        <f t="shared" si="3"/>
        <v>0</v>
      </c>
      <c r="I21" s="153">
        <f t="shared" si="3"/>
        <v>0</v>
      </c>
      <c r="J21" s="153">
        <f t="shared" si="3"/>
        <v>0</v>
      </c>
      <c r="K21" s="153">
        <f t="shared" si="3"/>
        <v>0</v>
      </c>
      <c r="L21" s="153">
        <f t="shared" si="3"/>
        <v>0</v>
      </c>
      <c r="M21" s="153">
        <f t="shared" si="3"/>
        <v>0</v>
      </c>
      <c r="N21" s="153">
        <f t="shared" si="3"/>
        <v>0</v>
      </c>
      <c r="O21" s="153">
        <f t="shared" si="3"/>
        <v>0</v>
      </c>
      <c r="P21" s="153">
        <f t="shared" si="3"/>
        <v>0</v>
      </c>
      <c r="Q21" s="153">
        <f t="shared" si="3"/>
        <v>0</v>
      </c>
      <c r="R21" s="151">
        <f t="shared" si="2"/>
        <v>413440</v>
      </c>
    </row>
    <row r="22" spans="1:18" s="148" customFormat="1" ht="21" customHeight="1">
      <c r="A22" s="155">
        <v>522000</v>
      </c>
      <c r="B22" s="156"/>
      <c r="C22" s="157"/>
      <c r="D22" s="156"/>
      <c r="E22" s="157"/>
      <c r="F22" s="157"/>
      <c r="G22" s="157"/>
      <c r="H22" s="156"/>
      <c r="I22" s="156"/>
      <c r="J22" s="156"/>
      <c r="K22" s="151"/>
      <c r="L22" s="156"/>
      <c r="M22" s="156"/>
      <c r="N22" s="156"/>
      <c r="O22" s="151"/>
      <c r="P22" s="151"/>
      <c r="Q22" s="153"/>
      <c r="R22" s="151"/>
    </row>
    <row r="23" spans="1:18" s="148" customFormat="1" ht="21" customHeight="1">
      <c r="A23" s="158">
        <v>220100</v>
      </c>
      <c r="B23" s="150">
        <f>1341900-88830-88940-88940-88940-88940-98420-101240-101368-116698-88290</f>
        <v>391294</v>
      </c>
      <c r="C23" s="150">
        <f>531060-23156.45-27050-27050-40634-42090-42090-43140-20000-43140-49680-10800</f>
        <v>162229.55</v>
      </c>
      <c r="D23" s="150">
        <v>0</v>
      </c>
      <c r="E23" s="150">
        <v>0</v>
      </c>
      <c r="F23" s="150">
        <v>0</v>
      </c>
      <c r="G23" s="150">
        <v>0</v>
      </c>
      <c r="H23" s="150">
        <v>0</v>
      </c>
      <c r="I23" s="150">
        <f>413340-34040-34040-34040-34040-34040-34040-34720-34720-39970+9720</f>
        <v>109410</v>
      </c>
      <c r="J23" s="150">
        <v>0</v>
      </c>
      <c r="K23" s="150">
        <v>0</v>
      </c>
      <c r="L23" s="150">
        <v>0</v>
      </c>
      <c r="M23" s="150">
        <v>0</v>
      </c>
      <c r="N23" s="150">
        <v>0</v>
      </c>
      <c r="O23" s="150">
        <v>0</v>
      </c>
      <c r="P23" s="150">
        <v>0</v>
      </c>
      <c r="Q23" s="150">
        <v>0</v>
      </c>
      <c r="R23" s="151">
        <f aca="true" t="shared" si="4" ref="R23:R29">SUM(B23:Q23)</f>
        <v>662933.55</v>
      </c>
    </row>
    <row r="24" spans="1:18" s="148" customFormat="1" ht="21" customHeight="1">
      <c r="A24" s="158">
        <v>220200</v>
      </c>
      <c r="B24" s="150">
        <f>102480-4040-3930-3930-3930-3930-5430-5140-5140+6640-3320</f>
        <v>70330</v>
      </c>
      <c r="C24" s="150">
        <f>54000-3407.42-4230-4230-4230-4230-4230-3930-3930+3212-2860</f>
        <v>21934.58</v>
      </c>
      <c r="D24" s="150">
        <v>0</v>
      </c>
      <c r="E24" s="150">
        <v>0</v>
      </c>
      <c r="F24" s="150">
        <v>0</v>
      </c>
      <c r="G24" s="150">
        <v>0</v>
      </c>
      <c r="H24" s="150">
        <v>0</v>
      </c>
      <c r="I24" s="150">
        <f>36000-3000-3000-3000-3000-3000-3000-3000-3000+680-2660</f>
        <v>10020</v>
      </c>
      <c r="J24" s="150">
        <v>0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150">
        <v>0</v>
      </c>
      <c r="Q24" s="150">
        <v>0</v>
      </c>
      <c r="R24" s="151">
        <f t="shared" si="4"/>
        <v>102284.58</v>
      </c>
    </row>
    <row r="25" spans="1:18" s="148" customFormat="1" ht="21" customHeight="1">
      <c r="A25" s="158">
        <v>220300</v>
      </c>
      <c r="B25" s="150">
        <f>42000-3500-3500-3500-3500-3500-3500-3500-3500-3500</f>
        <v>10500</v>
      </c>
      <c r="C25" s="150">
        <v>0</v>
      </c>
      <c r="D25" s="150">
        <v>0</v>
      </c>
      <c r="E25" s="150">
        <v>0</v>
      </c>
      <c r="F25" s="150">
        <v>0</v>
      </c>
      <c r="G25" s="150">
        <v>0</v>
      </c>
      <c r="H25" s="150">
        <v>0</v>
      </c>
      <c r="I25" s="150">
        <v>0</v>
      </c>
      <c r="J25" s="150">
        <v>0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150">
        <v>0</v>
      </c>
      <c r="Q25" s="150">
        <v>0</v>
      </c>
      <c r="R25" s="151">
        <f t="shared" si="4"/>
        <v>10500</v>
      </c>
    </row>
    <row r="26" spans="1:18" s="148" customFormat="1" ht="21" customHeight="1">
      <c r="A26" s="158">
        <v>220600</v>
      </c>
      <c r="B26" s="150">
        <f>208560+127440-22460-22460-22460-22460-25000-22460-22460-22460-35000-22460-22460</f>
        <v>73860</v>
      </c>
      <c r="C26" s="150">
        <f>205200+4680-17100-17100-17100-17100-17100-17100-17100-17100-17490</f>
        <v>55590</v>
      </c>
      <c r="D26" s="150">
        <v>0</v>
      </c>
      <c r="E26" s="150">
        <v>0</v>
      </c>
      <c r="F26" s="150">
        <f>196770-13960-8440-3000-75000+16400-6000-9000</f>
        <v>97770</v>
      </c>
      <c r="G26" s="150">
        <v>0</v>
      </c>
      <c r="H26" s="150">
        <v>0</v>
      </c>
      <c r="I26" s="150">
        <f>140760+191160+2760-21210-21210-21210-26412-17000-26970-23037-21890-35000-16810-17040</f>
        <v>86891</v>
      </c>
      <c r="J26" s="150">
        <v>0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150">
        <v>0</v>
      </c>
      <c r="Q26" s="150">
        <v>0</v>
      </c>
      <c r="R26" s="151">
        <f t="shared" si="4"/>
        <v>314111</v>
      </c>
    </row>
    <row r="27" spans="1:18" s="148" customFormat="1" ht="21" customHeight="1">
      <c r="A27" s="158">
        <v>220700</v>
      </c>
      <c r="B27" s="150">
        <f>36000+36000-4500-4500-4500-4500-4500-4500-4500-15000-4500-4500</f>
        <v>16500</v>
      </c>
      <c r="C27" s="150">
        <f>36000-3000-3780-3390-3390-3390-3390-3390-3390-3000</f>
        <v>5880</v>
      </c>
      <c r="D27" s="150">
        <v>0</v>
      </c>
      <c r="E27" s="150">
        <v>0</v>
      </c>
      <c r="F27" s="150">
        <f>36000-3000</f>
        <v>33000</v>
      </c>
      <c r="G27" s="150">
        <v>0</v>
      </c>
      <c r="H27" s="150">
        <v>0</v>
      </c>
      <c r="I27" s="150">
        <f>56040+54000-6730-7190-6960-9163-9400-8238-7900-5000-6400-6170</f>
        <v>36889</v>
      </c>
      <c r="J27" s="150">
        <v>0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150">
        <v>0</v>
      </c>
      <c r="Q27" s="150">
        <v>0</v>
      </c>
      <c r="R27" s="151">
        <f>SUM(B27:Q27)</f>
        <v>92269</v>
      </c>
    </row>
    <row r="28" spans="1:18" s="148" customFormat="1" ht="21" customHeight="1">
      <c r="A28" s="158">
        <v>221100</v>
      </c>
      <c r="B28" s="150">
        <f>30000-14500</f>
        <v>15500</v>
      </c>
      <c r="C28" s="150">
        <f>10800-5421</f>
        <v>5379</v>
      </c>
      <c r="D28" s="150">
        <v>0</v>
      </c>
      <c r="E28" s="150">
        <v>0</v>
      </c>
      <c r="F28" s="150">
        <v>0</v>
      </c>
      <c r="G28" s="150">
        <v>0</v>
      </c>
      <c r="H28" s="150">
        <v>0</v>
      </c>
      <c r="I28" s="150">
        <f>4000-2850</f>
        <v>1150</v>
      </c>
      <c r="J28" s="150">
        <v>0</v>
      </c>
      <c r="K28" s="150">
        <v>0</v>
      </c>
      <c r="L28" s="150">
        <v>0</v>
      </c>
      <c r="M28" s="150">
        <v>0</v>
      </c>
      <c r="N28" s="150">
        <v>0</v>
      </c>
      <c r="O28" s="150">
        <v>0</v>
      </c>
      <c r="P28" s="150">
        <v>0</v>
      </c>
      <c r="Q28" s="150">
        <v>0</v>
      </c>
      <c r="R28" s="151">
        <f t="shared" si="4"/>
        <v>22029</v>
      </c>
    </row>
    <row r="29" spans="1:18" s="148" customFormat="1" ht="21" customHeight="1">
      <c r="A29" s="152" t="s">
        <v>18</v>
      </c>
      <c r="B29" s="153">
        <f aca="true" t="shared" si="5" ref="B29:Q29">SUM(B23:B28)</f>
        <v>577984</v>
      </c>
      <c r="C29" s="153">
        <f t="shared" si="5"/>
        <v>251013.13</v>
      </c>
      <c r="D29" s="153">
        <f t="shared" si="5"/>
        <v>0</v>
      </c>
      <c r="E29" s="153">
        <f t="shared" si="5"/>
        <v>0</v>
      </c>
      <c r="F29" s="153">
        <f t="shared" si="5"/>
        <v>130770</v>
      </c>
      <c r="G29" s="153">
        <f t="shared" si="5"/>
        <v>0</v>
      </c>
      <c r="H29" s="153">
        <f t="shared" si="5"/>
        <v>0</v>
      </c>
      <c r="I29" s="153">
        <f t="shared" si="5"/>
        <v>244360</v>
      </c>
      <c r="J29" s="153">
        <f t="shared" si="5"/>
        <v>0</v>
      </c>
      <c r="K29" s="153">
        <f t="shared" si="5"/>
        <v>0</v>
      </c>
      <c r="L29" s="153">
        <f t="shared" si="5"/>
        <v>0</v>
      </c>
      <c r="M29" s="153">
        <f t="shared" si="5"/>
        <v>0</v>
      </c>
      <c r="N29" s="153">
        <f t="shared" si="5"/>
        <v>0</v>
      </c>
      <c r="O29" s="153">
        <f t="shared" si="5"/>
        <v>0</v>
      </c>
      <c r="P29" s="153">
        <f t="shared" si="5"/>
        <v>0</v>
      </c>
      <c r="Q29" s="153">
        <f t="shared" si="5"/>
        <v>0</v>
      </c>
      <c r="R29" s="151">
        <f t="shared" si="4"/>
        <v>1204127.13</v>
      </c>
    </row>
    <row r="30" spans="1:18" s="148" customFormat="1" ht="21">
      <c r="A30" s="163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5"/>
    </row>
    <row r="31" spans="1:18" s="148" customFormat="1" ht="21" customHeight="1">
      <c r="A31" s="166"/>
      <c r="B31" s="164"/>
      <c r="C31" s="548" t="s">
        <v>7</v>
      </c>
      <c r="D31" s="548"/>
      <c r="E31" s="167"/>
      <c r="F31" s="167"/>
      <c r="G31" s="167"/>
      <c r="H31" s="164"/>
      <c r="I31" s="164"/>
      <c r="J31" s="538" t="s">
        <v>98</v>
      </c>
      <c r="K31" s="538"/>
      <c r="L31" s="538"/>
      <c r="M31" s="538"/>
      <c r="N31" s="164"/>
      <c r="O31" s="164"/>
      <c r="P31" s="164"/>
      <c r="Q31" s="164"/>
      <c r="R31" s="165"/>
    </row>
    <row r="32" spans="1:18" s="148" customFormat="1" ht="21" customHeight="1">
      <c r="A32" s="166"/>
      <c r="B32" s="164"/>
      <c r="C32" s="167"/>
      <c r="D32" s="167"/>
      <c r="E32" s="167"/>
      <c r="F32" s="167"/>
      <c r="G32" s="167"/>
      <c r="H32" s="164"/>
      <c r="I32" s="164"/>
      <c r="J32" s="85"/>
      <c r="K32" s="85"/>
      <c r="L32" s="85"/>
      <c r="M32" s="85"/>
      <c r="N32" s="164"/>
      <c r="O32" s="164"/>
      <c r="P32" s="164"/>
      <c r="Q32" s="164"/>
      <c r="R32" s="165"/>
    </row>
    <row r="33" spans="1:18" s="148" customFormat="1" ht="21" customHeight="1">
      <c r="A33" s="166"/>
      <c r="B33" s="164"/>
      <c r="C33" s="548" t="s">
        <v>115</v>
      </c>
      <c r="D33" s="548"/>
      <c r="E33" s="167"/>
      <c r="F33" s="167"/>
      <c r="G33" s="167"/>
      <c r="H33" s="164"/>
      <c r="I33" s="164"/>
      <c r="J33" s="538" t="s">
        <v>300</v>
      </c>
      <c r="K33" s="538"/>
      <c r="L33" s="538"/>
      <c r="M33" s="538"/>
      <c r="N33" s="164"/>
      <c r="O33" s="164"/>
      <c r="P33" s="164"/>
      <c r="Q33" s="164"/>
      <c r="R33" s="165"/>
    </row>
    <row r="34" spans="1:18" s="148" customFormat="1" ht="21" customHeight="1">
      <c r="A34" s="166"/>
      <c r="B34" s="164"/>
      <c r="C34" s="548" t="s">
        <v>329</v>
      </c>
      <c r="D34" s="548"/>
      <c r="E34" s="167"/>
      <c r="F34" s="167"/>
      <c r="G34" s="167"/>
      <c r="H34" s="164"/>
      <c r="I34" s="164"/>
      <c r="J34" s="538" t="s">
        <v>97</v>
      </c>
      <c r="K34" s="538"/>
      <c r="L34" s="538"/>
      <c r="M34" s="538"/>
      <c r="N34" s="164"/>
      <c r="O34" s="164"/>
      <c r="P34" s="164"/>
      <c r="Q34" s="164"/>
      <c r="R34" s="165"/>
    </row>
    <row r="35" spans="1:18" s="148" customFormat="1" ht="21" customHeight="1">
      <c r="A35" s="166"/>
      <c r="B35" s="164"/>
      <c r="C35" s="167"/>
      <c r="D35" s="167"/>
      <c r="E35" s="167"/>
      <c r="F35" s="167"/>
      <c r="G35" s="167"/>
      <c r="H35" s="164"/>
      <c r="I35" s="164"/>
      <c r="J35" s="538"/>
      <c r="K35" s="538"/>
      <c r="L35" s="538"/>
      <c r="M35" s="538"/>
      <c r="N35" s="164"/>
      <c r="O35" s="164"/>
      <c r="P35" s="164"/>
      <c r="Q35" s="164"/>
      <c r="R35" s="165"/>
    </row>
    <row r="36" spans="1:18" s="148" customFormat="1" ht="21" customHeight="1">
      <c r="A36" s="166"/>
      <c r="B36" s="164"/>
      <c r="C36" s="167"/>
      <c r="D36" s="167"/>
      <c r="E36" s="167"/>
      <c r="F36" s="167"/>
      <c r="G36" s="167"/>
      <c r="H36" s="164"/>
      <c r="I36" s="164"/>
      <c r="J36" s="85"/>
      <c r="K36" s="85"/>
      <c r="L36" s="85"/>
      <c r="M36" s="85"/>
      <c r="N36" s="164"/>
      <c r="O36" s="164"/>
      <c r="P36" s="164"/>
      <c r="Q36" s="164"/>
      <c r="R36" s="165"/>
    </row>
    <row r="37" spans="1:18" s="148" customFormat="1" ht="19.5" thickBot="1">
      <c r="A37" s="550" t="s">
        <v>20</v>
      </c>
      <c r="B37" s="550"/>
      <c r="C37" s="550"/>
      <c r="D37" s="550"/>
      <c r="E37" s="550"/>
      <c r="F37" s="550"/>
      <c r="G37" s="550"/>
      <c r="H37" s="550"/>
      <c r="I37" s="550"/>
      <c r="J37" s="550"/>
      <c r="K37" s="550"/>
      <c r="L37" s="550"/>
      <c r="M37" s="550"/>
      <c r="N37" s="550"/>
      <c r="O37" s="550"/>
      <c r="P37" s="550"/>
      <c r="Q37" s="550"/>
      <c r="R37" s="550"/>
    </row>
    <row r="38" spans="1:18" s="134" customFormat="1" ht="21" customHeight="1">
      <c r="A38" s="129" t="s">
        <v>15</v>
      </c>
      <c r="B38" s="544" t="s">
        <v>79</v>
      </c>
      <c r="C38" s="545"/>
      <c r="D38" s="435" t="s">
        <v>82</v>
      </c>
      <c r="E38" s="544" t="s">
        <v>88</v>
      </c>
      <c r="F38" s="545"/>
      <c r="G38" s="130" t="s">
        <v>89</v>
      </c>
      <c r="H38" s="131" t="s">
        <v>92</v>
      </c>
      <c r="I38" s="544" t="s">
        <v>83</v>
      </c>
      <c r="J38" s="545"/>
      <c r="K38" s="132" t="s">
        <v>93</v>
      </c>
      <c r="L38" s="544" t="s">
        <v>84</v>
      </c>
      <c r="M38" s="546"/>
      <c r="N38" s="545"/>
      <c r="O38" s="132" t="s">
        <v>96</v>
      </c>
      <c r="P38" s="132" t="s">
        <v>112</v>
      </c>
      <c r="Q38" s="130" t="s">
        <v>77</v>
      </c>
      <c r="R38" s="133" t="s">
        <v>16</v>
      </c>
    </row>
    <row r="39" spans="1:18" s="134" customFormat="1" ht="21" customHeight="1" thickBot="1">
      <c r="A39" s="135" t="s">
        <v>17</v>
      </c>
      <c r="B39" s="137" t="s">
        <v>80</v>
      </c>
      <c r="C39" s="138" t="s">
        <v>81</v>
      </c>
      <c r="D39" s="136" t="s">
        <v>73</v>
      </c>
      <c r="E39" s="137" t="s">
        <v>87</v>
      </c>
      <c r="F39" s="137" t="s">
        <v>107</v>
      </c>
      <c r="G39" s="137" t="s">
        <v>90</v>
      </c>
      <c r="H39" s="140" t="s">
        <v>290</v>
      </c>
      <c r="I39" s="136" t="s">
        <v>75</v>
      </c>
      <c r="J39" s="136" t="s">
        <v>76</v>
      </c>
      <c r="K39" s="141" t="s">
        <v>289</v>
      </c>
      <c r="L39" s="432" t="s">
        <v>129</v>
      </c>
      <c r="M39" s="138" t="s">
        <v>85</v>
      </c>
      <c r="N39" s="139" t="s">
        <v>86</v>
      </c>
      <c r="O39" s="141" t="s">
        <v>95</v>
      </c>
      <c r="P39" s="141" t="s">
        <v>113</v>
      </c>
      <c r="Q39" s="136" t="s">
        <v>78</v>
      </c>
      <c r="R39" s="142"/>
    </row>
    <row r="40" spans="1:18" s="148" customFormat="1" ht="21" customHeight="1">
      <c r="A40" s="160">
        <v>531000</v>
      </c>
      <c r="B40" s="161"/>
      <c r="C40" s="162"/>
      <c r="D40" s="144"/>
      <c r="E40" s="145"/>
      <c r="F40" s="145"/>
      <c r="G40" s="145"/>
      <c r="H40" s="144"/>
      <c r="I40" s="144"/>
      <c r="J40" s="161"/>
      <c r="K40" s="151"/>
      <c r="L40" s="433"/>
      <c r="M40" s="144"/>
      <c r="N40" s="144"/>
      <c r="O40" s="151"/>
      <c r="P40" s="151"/>
      <c r="Q40" s="161"/>
      <c r="R40" s="151"/>
    </row>
    <row r="41" spans="1:18" s="148" customFormat="1" ht="21" customHeight="1">
      <c r="A41" s="158">
        <v>310100</v>
      </c>
      <c r="B41" s="150">
        <f>30000-18900-1500</f>
        <v>9600</v>
      </c>
      <c r="C41" s="150">
        <v>0</v>
      </c>
      <c r="D41" s="150">
        <v>0</v>
      </c>
      <c r="E41" s="150">
        <v>0</v>
      </c>
      <c r="F41" s="150">
        <v>0</v>
      </c>
      <c r="G41" s="150">
        <v>0</v>
      </c>
      <c r="H41" s="150">
        <v>0</v>
      </c>
      <c r="I41" s="150">
        <f>30000-2760-9720</f>
        <v>17520</v>
      </c>
      <c r="J41" s="150">
        <v>0</v>
      </c>
      <c r="K41" s="150">
        <v>0</v>
      </c>
      <c r="L41" s="150">
        <v>0</v>
      </c>
      <c r="M41" s="150">
        <v>0</v>
      </c>
      <c r="N41" s="150">
        <v>0</v>
      </c>
      <c r="O41" s="150">
        <v>0</v>
      </c>
      <c r="P41" s="150">
        <v>0</v>
      </c>
      <c r="Q41" s="150">
        <v>0</v>
      </c>
      <c r="R41" s="151">
        <f aca="true" t="shared" si="6" ref="R41:R49">SUM(B41:Q41)</f>
        <v>27120</v>
      </c>
    </row>
    <row r="42" spans="1:18" s="148" customFormat="1" ht="21" customHeight="1">
      <c r="A42" s="158">
        <v>310200</v>
      </c>
      <c r="B42" s="150">
        <v>30000</v>
      </c>
      <c r="C42" s="150">
        <v>0</v>
      </c>
      <c r="D42" s="150">
        <v>0</v>
      </c>
      <c r="E42" s="150">
        <v>0</v>
      </c>
      <c r="F42" s="150">
        <v>0</v>
      </c>
      <c r="G42" s="150">
        <v>0</v>
      </c>
      <c r="H42" s="150">
        <v>0</v>
      </c>
      <c r="I42" s="150">
        <v>0</v>
      </c>
      <c r="J42" s="150">
        <v>0</v>
      </c>
      <c r="K42" s="150">
        <v>0</v>
      </c>
      <c r="L42" s="150">
        <v>0</v>
      </c>
      <c r="M42" s="150">
        <v>0</v>
      </c>
      <c r="N42" s="150">
        <v>0</v>
      </c>
      <c r="O42" s="150">
        <v>0</v>
      </c>
      <c r="P42" s="150">
        <v>0</v>
      </c>
      <c r="Q42" s="150">
        <v>0</v>
      </c>
      <c r="R42" s="151">
        <f t="shared" si="6"/>
        <v>30000</v>
      </c>
    </row>
    <row r="43" spans="1:18" s="148" customFormat="1" ht="21" customHeight="1">
      <c r="A43" s="158">
        <v>310300</v>
      </c>
      <c r="B43" s="150">
        <f>20000-18900-21000+38700</f>
        <v>18800</v>
      </c>
      <c r="C43" s="150">
        <f>20000-10500-14700+10000</f>
        <v>4800</v>
      </c>
      <c r="D43" s="150">
        <v>0</v>
      </c>
      <c r="E43" s="150">
        <v>0</v>
      </c>
      <c r="F43" s="150">
        <v>0</v>
      </c>
      <c r="G43" s="150">
        <v>0</v>
      </c>
      <c r="H43" s="150">
        <v>0</v>
      </c>
      <c r="I43" s="150">
        <f>40000-6300-13860-12600-6300-21000+35000-7980-3360</f>
        <v>3600</v>
      </c>
      <c r="J43" s="150">
        <v>0</v>
      </c>
      <c r="K43" s="150">
        <v>0</v>
      </c>
      <c r="L43" s="150">
        <v>0</v>
      </c>
      <c r="M43" s="150">
        <v>0</v>
      </c>
      <c r="N43" s="150">
        <v>0</v>
      </c>
      <c r="O43" s="150">
        <v>0</v>
      </c>
      <c r="P43" s="150">
        <v>0</v>
      </c>
      <c r="Q43" s="150">
        <v>0</v>
      </c>
      <c r="R43" s="151">
        <f t="shared" si="6"/>
        <v>27200</v>
      </c>
    </row>
    <row r="44" spans="1:18" s="148" customFormat="1" ht="21" customHeight="1">
      <c r="A44" s="158">
        <v>310400</v>
      </c>
      <c r="B44" s="150">
        <f>75000-4600-4600-9200-5850-5850-5850-9000-5850-5850</f>
        <v>18350</v>
      </c>
      <c r="C44" s="150">
        <f>42600-3550-3550-7100-8117-5950-5950-5950-5950+24000</f>
        <v>20483</v>
      </c>
      <c r="D44" s="150">
        <v>0</v>
      </c>
      <c r="E44" s="150">
        <v>0</v>
      </c>
      <c r="F44" s="150">
        <v>0</v>
      </c>
      <c r="G44" s="150">
        <v>0</v>
      </c>
      <c r="H44" s="150">
        <v>0</v>
      </c>
      <c r="I44" s="150">
        <f>12800-1600-1600-1600-1600-1600</f>
        <v>4800</v>
      </c>
      <c r="J44" s="150">
        <v>0</v>
      </c>
      <c r="K44" s="150">
        <v>0</v>
      </c>
      <c r="L44" s="150">
        <v>0</v>
      </c>
      <c r="M44" s="150">
        <v>0</v>
      </c>
      <c r="N44" s="150">
        <v>0</v>
      </c>
      <c r="O44" s="150">
        <v>0</v>
      </c>
      <c r="P44" s="150">
        <v>0</v>
      </c>
      <c r="Q44" s="150">
        <v>0</v>
      </c>
      <c r="R44" s="151">
        <f t="shared" si="6"/>
        <v>43633</v>
      </c>
    </row>
    <row r="45" spans="1:18" s="148" customFormat="1" ht="21" customHeight="1">
      <c r="A45" s="158">
        <v>310500</v>
      </c>
      <c r="B45" s="150">
        <f>15000-3639-1937-1937</f>
        <v>7487</v>
      </c>
      <c r="C45" s="150">
        <f>10000-4680-1937-1937</f>
        <v>1446</v>
      </c>
      <c r="D45" s="150">
        <v>0</v>
      </c>
      <c r="E45" s="150">
        <v>0</v>
      </c>
      <c r="F45" s="150">
        <v>0</v>
      </c>
      <c r="G45" s="150">
        <v>0</v>
      </c>
      <c r="H45" s="150">
        <v>0</v>
      </c>
      <c r="I45" s="150">
        <f>10000-1700-1702</f>
        <v>6598</v>
      </c>
      <c r="J45" s="150">
        <v>0</v>
      </c>
      <c r="K45" s="150">
        <v>0</v>
      </c>
      <c r="L45" s="150">
        <v>0</v>
      </c>
      <c r="M45" s="150">
        <v>0</v>
      </c>
      <c r="N45" s="150">
        <v>0</v>
      </c>
      <c r="O45" s="150">
        <v>0</v>
      </c>
      <c r="P45" s="150">
        <v>0</v>
      </c>
      <c r="Q45" s="150">
        <v>0</v>
      </c>
      <c r="R45" s="151">
        <f t="shared" si="6"/>
        <v>15531</v>
      </c>
    </row>
    <row r="46" spans="1:18" s="148" customFormat="1" ht="21" customHeight="1">
      <c r="A46" s="158">
        <v>310600</v>
      </c>
      <c r="B46" s="150">
        <f>30000-5563-775-260-2660-1037-2085-3947-624-1414</f>
        <v>11635</v>
      </c>
      <c r="C46" s="150">
        <f>30000-970-1648-15977</f>
        <v>11405</v>
      </c>
      <c r="D46" s="150">
        <v>0</v>
      </c>
      <c r="E46" s="150">
        <v>0</v>
      </c>
      <c r="F46" s="150">
        <v>0</v>
      </c>
      <c r="G46" s="150">
        <v>0</v>
      </c>
      <c r="H46" s="150">
        <v>0</v>
      </c>
      <c r="I46" s="150">
        <f>200000-285-38684-22000-20000-30495-20000-23468-18000-25165</f>
        <v>1903</v>
      </c>
      <c r="J46" s="150">
        <v>0</v>
      </c>
      <c r="K46" s="150">
        <v>0</v>
      </c>
      <c r="L46" s="150">
        <v>0</v>
      </c>
      <c r="M46" s="150">
        <v>0</v>
      </c>
      <c r="N46" s="150">
        <v>0</v>
      </c>
      <c r="O46" s="150">
        <v>0</v>
      </c>
      <c r="P46" s="150">
        <v>0</v>
      </c>
      <c r="Q46" s="150">
        <v>0</v>
      </c>
      <c r="R46" s="151">
        <f t="shared" si="6"/>
        <v>24943</v>
      </c>
    </row>
    <row r="47" spans="1:18" s="148" customFormat="1" ht="21" customHeight="1">
      <c r="A47" s="158">
        <v>310800</v>
      </c>
      <c r="B47" s="150">
        <v>320000</v>
      </c>
      <c r="C47" s="150">
        <v>157890</v>
      </c>
      <c r="D47" s="150">
        <v>0</v>
      </c>
      <c r="E47" s="150">
        <v>0</v>
      </c>
      <c r="F47" s="150">
        <v>0</v>
      </c>
      <c r="G47" s="150">
        <v>0</v>
      </c>
      <c r="H47" s="150">
        <v>0</v>
      </c>
      <c r="I47" s="150">
        <v>166590</v>
      </c>
      <c r="J47" s="150">
        <v>0</v>
      </c>
      <c r="K47" s="150">
        <v>0</v>
      </c>
      <c r="L47" s="150">
        <v>0</v>
      </c>
      <c r="M47" s="150">
        <v>0</v>
      </c>
      <c r="N47" s="150">
        <v>0</v>
      </c>
      <c r="O47" s="150">
        <v>0</v>
      </c>
      <c r="P47" s="150">
        <v>0</v>
      </c>
      <c r="Q47" s="150">
        <v>0</v>
      </c>
      <c r="R47" s="151">
        <f t="shared" si="6"/>
        <v>644480</v>
      </c>
    </row>
    <row r="48" spans="1:18" s="148" customFormat="1" ht="21" customHeight="1">
      <c r="A48" s="158">
        <v>310900</v>
      </c>
      <c r="B48" s="150">
        <v>0</v>
      </c>
      <c r="C48" s="150">
        <v>0</v>
      </c>
      <c r="D48" s="150">
        <v>5000</v>
      </c>
      <c r="E48" s="150">
        <v>0</v>
      </c>
      <c r="F48" s="150">
        <v>0</v>
      </c>
      <c r="G48" s="150">
        <v>0</v>
      </c>
      <c r="H48" s="150">
        <v>0</v>
      </c>
      <c r="I48" s="150">
        <v>0</v>
      </c>
      <c r="J48" s="150">
        <v>0</v>
      </c>
      <c r="K48" s="150">
        <v>0</v>
      </c>
      <c r="L48" s="150">
        <v>0</v>
      </c>
      <c r="M48" s="150">
        <v>0</v>
      </c>
      <c r="N48" s="150">
        <v>0</v>
      </c>
      <c r="O48" s="150">
        <v>0</v>
      </c>
      <c r="P48" s="150">
        <v>0</v>
      </c>
      <c r="Q48" s="150">
        <v>0</v>
      </c>
      <c r="R48" s="151">
        <f t="shared" si="6"/>
        <v>5000</v>
      </c>
    </row>
    <row r="49" spans="1:18" s="148" customFormat="1" ht="21" customHeight="1">
      <c r="A49" s="152" t="s">
        <v>18</v>
      </c>
      <c r="B49" s="153">
        <f aca="true" t="shared" si="7" ref="B49:Q49">SUM(B41:B48)</f>
        <v>415872</v>
      </c>
      <c r="C49" s="153">
        <f t="shared" si="7"/>
        <v>196024</v>
      </c>
      <c r="D49" s="153">
        <f t="shared" si="7"/>
        <v>5000</v>
      </c>
      <c r="E49" s="153">
        <f t="shared" si="7"/>
        <v>0</v>
      </c>
      <c r="F49" s="153">
        <f t="shared" si="7"/>
        <v>0</v>
      </c>
      <c r="G49" s="153">
        <f t="shared" si="7"/>
        <v>0</v>
      </c>
      <c r="H49" s="153">
        <f t="shared" si="7"/>
        <v>0</v>
      </c>
      <c r="I49" s="153">
        <f t="shared" si="7"/>
        <v>201011</v>
      </c>
      <c r="J49" s="153">
        <f t="shared" si="7"/>
        <v>0</v>
      </c>
      <c r="K49" s="153">
        <f t="shared" si="7"/>
        <v>0</v>
      </c>
      <c r="L49" s="153">
        <f t="shared" si="7"/>
        <v>0</v>
      </c>
      <c r="M49" s="153">
        <f t="shared" si="7"/>
        <v>0</v>
      </c>
      <c r="N49" s="153">
        <f t="shared" si="7"/>
        <v>0</v>
      </c>
      <c r="O49" s="153">
        <f t="shared" si="7"/>
        <v>0</v>
      </c>
      <c r="P49" s="153">
        <f t="shared" si="7"/>
        <v>0</v>
      </c>
      <c r="Q49" s="153">
        <f t="shared" si="7"/>
        <v>0</v>
      </c>
      <c r="R49" s="151">
        <f t="shared" si="6"/>
        <v>817907</v>
      </c>
    </row>
    <row r="50" spans="1:18" s="148" customFormat="1" ht="21" customHeight="1">
      <c r="A50" s="155">
        <v>532000</v>
      </c>
      <c r="B50" s="153"/>
      <c r="C50" s="159"/>
      <c r="D50" s="156"/>
      <c r="E50" s="157"/>
      <c r="F50" s="157"/>
      <c r="G50" s="157"/>
      <c r="H50" s="153"/>
      <c r="I50" s="156"/>
      <c r="J50" s="153"/>
      <c r="K50" s="151"/>
      <c r="L50" s="156"/>
      <c r="M50" s="156"/>
      <c r="N50" s="156"/>
      <c r="O50" s="151"/>
      <c r="P50" s="151"/>
      <c r="Q50" s="153"/>
      <c r="R50" s="151"/>
    </row>
    <row r="51" spans="1:18" s="148" customFormat="1" ht="21" customHeight="1">
      <c r="A51" s="158">
        <v>320100</v>
      </c>
      <c r="B51" s="150">
        <f>50000+50000+50000+54000+68400+68400-8150+4000-4000-13800-12414-40952.49-26500+55000-15900-109480-38400-30000-19000</f>
        <v>81203.51000000001</v>
      </c>
      <c r="C51" s="150">
        <f>30000-3300-5350-2000-3900-3200+20000-19000+20000</f>
        <v>33250</v>
      </c>
      <c r="D51" s="150">
        <v>0</v>
      </c>
      <c r="E51" s="150">
        <v>0</v>
      </c>
      <c r="F51" s="150">
        <v>0</v>
      </c>
      <c r="G51" s="150">
        <f>25000+68400-5700-5700-5700-5700-18050-5700-5700-5700-5700</f>
        <v>29750</v>
      </c>
      <c r="H51" s="150">
        <v>0</v>
      </c>
      <c r="I51" s="150">
        <f>50000-1500-550-3500-1900-3453-5500</f>
        <v>33597</v>
      </c>
      <c r="J51" s="150">
        <v>0</v>
      </c>
      <c r="K51" s="150">
        <f>19500-15975</f>
        <v>3525</v>
      </c>
      <c r="L51" s="150">
        <v>0</v>
      </c>
      <c r="M51" s="150">
        <v>0</v>
      </c>
      <c r="N51" s="150">
        <v>0</v>
      </c>
      <c r="O51" s="150">
        <v>0</v>
      </c>
      <c r="P51" s="150">
        <v>0</v>
      </c>
      <c r="Q51" s="150">
        <v>0</v>
      </c>
      <c r="R51" s="151">
        <f aca="true" t="shared" si="8" ref="R51:R56">SUM(B51:Q51)</f>
        <v>181325.51</v>
      </c>
    </row>
    <row r="52" spans="1:18" s="148" customFormat="1" ht="21" customHeight="1">
      <c r="A52" s="158">
        <v>320200</v>
      </c>
      <c r="B52" s="150">
        <f>10000-864-1500-400</f>
        <v>7236</v>
      </c>
      <c r="C52" s="150">
        <v>0</v>
      </c>
      <c r="D52" s="150">
        <v>0</v>
      </c>
      <c r="E52" s="150">
        <v>0</v>
      </c>
      <c r="F52" s="150">
        <v>0</v>
      </c>
      <c r="G52" s="150">
        <v>0</v>
      </c>
      <c r="H52" s="150">
        <v>0</v>
      </c>
      <c r="I52" s="150">
        <v>0</v>
      </c>
      <c r="J52" s="150">
        <v>0</v>
      </c>
      <c r="K52" s="150">
        <v>0</v>
      </c>
      <c r="L52" s="150">
        <v>0</v>
      </c>
      <c r="M52" s="150">
        <v>0</v>
      </c>
      <c r="N52" s="150">
        <v>0</v>
      </c>
      <c r="O52" s="150">
        <v>0</v>
      </c>
      <c r="P52" s="150">
        <v>0</v>
      </c>
      <c r="Q52" s="150">
        <v>0</v>
      </c>
      <c r="R52" s="151">
        <f t="shared" si="8"/>
        <v>7236</v>
      </c>
    </row>
    <row r="53" spans="1:18" s="148" customFormat="1" ht="21" customHeight="1">
      <c r="A53" s="158">
        <v>320300</v>
      </c>
      <c r="B53" s="150">
        <f>120000+6000+15000+20000+9600+1250+10000+8150-39081-19948-2846-16998-55376-22332-3250+52600-29608-16388</f>
        <v>36773</v>
      </c>
      <c r="C53" s="150">
        <f>360000-3480-3700-10000-6500-25652-4000-20000</f>
        <v>286668</v>
      </c>
      <c r="D53" s="150">
        <f>20000-2000-2800</f>
        <v>15200</v>
      </c>
      <c r="E53" s="150">
        <v>18000</v>
      </c>
      <c r="F53" s="150">
        <f>3000+10000+626080+28000+9000-313040-37000-313040</f>
        <v>13000</v>
      </c>
      <c r="G53" s="150">
        <v>18050</v>
      </c>
      <c r="H53" s="150">
        <v>5000</v>
      </c>
      <c r="I53" s="150">
        <f>50000-2298-14602-9360</f>
        <v>23740</v>
      </c>
      <c r="J53" s="150">
        <v>0</v>
      </c>
      <c r="K53" s="150">
        <v>0</v>
      </c>
      <c r="L53" s="150">
        <f>50000+100000-30000-12800-100000</f>
        <v>7200</v>
      </c>
      <c r="M53" s="150">
        <f>30000+20000+20000+30000+10000-18550-11450</f>
        <v>80000</v>
      </c>
      <c r="N53" s="150">
        <v>0</v>
      </c>
      <c r="O53" s="150">
        <v>0</v>
      </c>
      <c r="P53" s="150">
        <v>0</v>
      </c>
      <c r="Q53" s="150">
        <v>0</v>
      </c>
      <c r="R53" s="151">
        <f t="shared" si="8"/>
        <v>503631</v>
      </c>
    </row>
    <row r="54" spans="1:18" s="148" customFormat="1" ht="21" customHeight="1">
      <c r="A54" s="158">
        <v>320400</v>
      </c>
      <c r="B54" s="150">
        <f>50000-1250-7720-4400-700-2150+5700</f>
        <v>39480</v>
      </c>
      <c r="C54" s="150">
        <f>20000-1400-2540</f>
        <v>16060</v>
      </c>
      <c r="D54" s="150">
        <v>0</v>
      </c>
      <c r="E54" s="150">
        <v>0</v>
      </c>
      <c r="F54" s="150">
        <v>0</v>
      </c>
      <c r="G54" s="150">
        <v>0</v>
      </c>
      <c r="H54" s="150">
        <v>0</v>
      </c>
      <c r="I54" s="150">
        <f>40000-1760-280-1200-4000-2110</f>
        <v>30650</v>
      </c>
      <c r="J54" s="150">
        <v>0</v>
      </c>
      <c r="K54" s="150">
        <v>0</v>
      </c>
      <c r="L54" s="150">
        <v>0</v>
      </c>
      <c r="M54" s="150">
        <v>0</v>
      </c>
      <c r="N54" s="150">
        <v>0</v>
      </c>
      <c r="O54" s="150">
        <v>0</v>
      </c>
      <c r="P54" s="150">
        <v>0</v>
      </c>
      <c r="Q54" s="150">
        <v>0</v>
      </c>
      <c r="R54" s="151">
        <f t="shared" si="8"/>
        <v>86190</v>
      </c>
    </row>
    <row r="55" spans="1:18" s="148" customFormat="1" ht="21" customHeight="1">
      <c r="A55" s="158">
        <v>320500</v>
      </c>
      <c r="B55" s="150">
        <v>3000</v>
      </c>
      <c r="C55" s="150">
        <v>0</v>
      </c>
      <c r="D55" s="150">
        <v>0</v>
      </c>
      <c r="E55" s="150">
        <v>0</v>
      </c>
      <c r="F55" s="150">
        <v>0</v>
      </c>
      <c r="G55" s="150">
        <v>0</v>
      </c>
      <c r="H55" s="150">
        <v>0</v>
      </c>
      <c r="I55" s="150">
        <v>0</v>
      </c>
      <c r="J55" s="150">
        <v>0</v>
      </c>
      <c r="K55" s="150">
        <v>0</v>
      </c>
      <c r="L55" s="150">
        <v>0</v>
      </c>
      <c r="M55" s="150">
        <v>0</v>
      </c>
      <c r="N55" s="150">
        <v>0</v>
      </c>
      <c r="O55" s="150">
        <v>0</v>
      </c>
      <c r="P55" s="150">
        <v>0</v>
      </c>
      <c r="Q55" s="150">
        <v>0</v>
      </c>
      <c r="R55" s="151">
        <f t="shared" si="8"/>
        <v>3000</v>
      </c>
    </row>
    <row r="56" spans="1:18" s="148" customFormat="1" ht="21" customHeight="1">
      <c r="A56" s="152" t="s">
        <v>18</v>
      </c>
      <c r="B56" s="153">
        <f aca="true" t="shared" si="9" ref="B56:Q56">SUM(B51:B55)</f>
        <v>167692.51</v>
      </c>
      <c r="C56" s="153">
        <f t="shared" si="9"/>
        <v>335978</v>
      </c>
      <c r="D56" s="153">
        <f t="shared" si="9"/>
        <v>15200</v>
      </c>
      <c r="E56" s="153">
        <f t="shared" si="9"/>
        <v>18000</v>
      </c>
      <c r="F56" s="153">
        <f t="shared" si="9"/>
        <v>13000</v>
      </c>
      <c r="G56" s="153">
        <f t="shared" si="9"/>
        <v>47800</v>
      </c>
      <c r="H56" s="153">
        <f t="shared" si="9"/>
        <v>5000</v>
      </c>
      <c r="I56" s="153">
        <f t="shared" si="9"/>
        <v>87987</v>
      </c>
      <c r="J56" s="153">
        <f t="shared" si="9"/>
        <v>0</v>
      </c>
      <c r="K56" s="153">
        <f t="shared" si="9"/>
        <v>3525</v>
      </c>
      <c r="L56" s="153">
        <f t="shared" si="9"/>
        <v>7200</v>
      </c>
      <c r="M56" s="153">
        <f t="shared" si="9"/>
        <v>80000</v>
      </c>
      <c r="N56" s="153">
        <f t="shared" si="9"/>
        <v>0</v>
      </c>
      <c r="O56" s="153">
        <f t="shared" si="9"/>
        <v>0</v>
      </c>
      <c r="P56" s="153">
        <f t="shared" si="9"/>
        <v>0</v>
      </c>
      <c r="Q56" s="153">
        <f t="shared" si="9"/>
        <v>0</v>
      </c>
      <c r="R56" s="151">
        <f t="shared" si="8"/>
        <v>781382.51</v>
      </c>
    </row>
    <row r="57" spans="1:18" s="148" customFormat="1" ht="21" customHeight="1">
      <c r="A57" s="166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438"/>
    </row>
    <row r="58" spans="1:18" s="148" customFormat="1" ht="21" customHeight="1">
      <c r="A58" s="163"/>
      <c r="B58" s="164"/>
      <c r="C58" s="548" t="s">
        <v>7</v>
      </c>
      <c r="D58" s="548"/>
      <c r="E58" s="167"/>
      <c r="F58" s="167"/>
      <c r="G58" s="167"/>
      <c r="H58" s="164"/>
      <c r="I58" s="164"/>
      <c r="J58" s="538" t="s">
        <v>98</v>
      </c>
      <c r="K58" s="538"/>
      <c r="L58" s="538"/>
      <c r="M58" s="538"/>
      <c r="N58" s="164"/>
      <c r="O58" s="164"/>
      <c r="P58" s="164"/>
      <c r="Q58" s="164"/>
      <c r="R58" s="165"/>
    </row>
    <row r="59" spans="1:18" s="148" customFormat="1" ht="21" customHeight="1">
      <c r="A59" s="163"/>
      <c r="B59" s="164"/>
      <c r="C59" s="167"/>
      <c r="D59" s="167"/>
      <c r="E59" s="167"/>
      <c r="F59" s="167"/>
      <c r="G59" s="167"/>
      <c r="H59" s="164"/>
      <c r="I59" s="164"/>
      <c r="J59" s="85"/>
      <c r="K59" s="85"/>
      <c r="L59" s="85"/>
      <c r="M59" s="85"/>
      <c r="N59" s="164"/>
      <c r="O59" s="164"/>
      <c r="P59" s="164"/>
      <c r="Q59" s="164"/>
      <c r="R59" s="165"/>
    </row>
    <row r="60" spans="1:18" s="148" customFormat="1" ht="21" customHeight="1">
      <c r="A60" s="166"/>
      <c r="B60" s="164"/>
      <c r="C60" s="167"/>
      <c r="D60" s="167"/>
      <c r="E60" s="167"/>
      <c r="F60" s="167"/>
      <c r="G60" s="167"/>
      <c r="H60" s="164"/>
      <c r="I60" s="164"/>
      <c r="J60" s="85"/>
      <c r="K60" s="75"/>
      <c r="L60" s="75"/>
      <c r="M60" s="75"/>
      <c r="N60" s="164"/>
      <c r="O60" s="164"/>
      <c r="P60" s="164"/>
      <c r="Q60" s="164"/>
      <c r="R60" s="165"/>
    </row>
    <row r="61" spans="1:18" s="148" customFormat="1" ht="21" customHeight="1">
      <c r="A61" s="166"/>
      <c r="B61" s="164"/>
      <c r="C61" s="548" t="s">
        <v>115</v>
      </c>
      <c r="D61" s="548"/>
      <c r="E61" s="167"/>
      <c r="F61" s="167"/>
      <c r="G61" s="167"/>
      <c r="H61" s="164"/>
      <c r="I61" s="164"/>
      <c r="J61" s="538" t="s">
        <v>300</v>
      </c>
      <c r="K61" s="538"/>
      <c r="L61" s="538"/>
      <c r="M61" s="538"/>
      <c r="N61" s="164"/>
      <c r="O61" s="164"/>
      <c r="P61" s="164"/>
      <c r="Q61" s="164"/>
      <c r="R61" s="165"/>
    </row>
    <row r="62" spans="1:18" s="148" customFormat="1" ht="21" customHeight="1">
      <c r="A62" s="166"/>
      <c r="B62" s="164"/>
      <c r="C62" s="548" t="s">
        <v>329</v>
      </c>
      <c r="D62" s="548"/>
      <c r="E62" s="167"/>
      <c r="F62" s="167"/>
      <c r="G62" s="167"/>
      <c r="H62" s="164"/>
      <c r="I62" s="164"/>
      <c r="J62" s="538" t="s">
        <v>97</v>
      </c>
      <c r="K62" s="538"/>
      <c r="L62" s="538"/>
      <c r="M62" s="538"/>
      <c r="N62" s="164"/>
      <c r="O62" s="164"/>
      <c r="P62" s="164"/>
      <c r="Q62" s="164"/>
      <c r="R62" s="165"/>
    </row>
    <row r="63" spans="1:18" s="148" customFormat="1" ht="21" customHeight="1">
      <c r="A63" s="166"/>
      <c r="B63" s="164"/>
      <c r="C63" s="167"/>
      <c r="D63" s="167"/>
      <c r="E63" s="167"/>
      <c r="F63" s="167"/>
      <c r="G63" s="167"/>
      <c r="H63" s="164"/>
      <c r="I63" s="164"/>
      <c r="J63" s="538"/>
      <c r="K63" s="538"/>
      <c r="L63" s="538"/>
      <c r="M63" s="538"/>
      <c r="N63" s="164"/>
      <c r="O63" s="164"/>
      <c r="P63" s="164"/>
      <c r="Q63" s="164"/>
      <c r="R63" s="165"/>
    </row>
    <row r="64" spans="1:18" s="148" customFormat="1" ht="21" customHeight="1">
      <c r="A64" s="166"/>
      <c r="B64" s="164"/>
      <c r="C64" s="167"/>
      <c r="D64" s="167"/>
      <c r="E64" s="167"/>
      <c r="F64" s="167"/>
      <c r="G64" s="167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5"/>
    </row>
    <row r="65" spans="1:18" s="148" customFormat="1" ht="21" customHeight="1">
      <c r="A65" s="166"/>
      <c r="B65" s="164"/>
      <c r="C65" s="167"/>
      <c r="D65" s="167"/>
      <c r="E65" s="167"/>
      <c r="F65" s="167"/>
      <c r="G65" s="167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5"/>
    </row>
    <row r="66" spans="1:18" s="148" customFormat="1" ht="21" customHeight="1">
      <c r="A66" s="166"/>
      <c r="B66" s="164"/>
      <c r="C66" s="167"/>
      <c r="D66" s="167"/>
      <c r="E66" s="167"/>
      <c r="F66" s="167"/>
      <c r="G66" s="167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5"/>
    </row>
    <row r="67" spans="1:18" s="148" customFormat="1" ht="21" customHeight="1">
      <c r="A67" s="166"/>
      <c r="B67" s="164"/>
      <c r="C67" s="167"/>
      <c r="D67" s="167"/>
      <c r="E67" s="167"/>
      <c r="F67" s="167"/>
      <c r="G67" s="167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5"/>
    </row>
    <row r="68" spans="1:18" s="148" customFormat="1" ht="21" customHeight="1">
      <c r="A68" s="166"/>
      <c r="B68" s="164"/>
      <c r="C68" s="167"/>
      <c r="D68" s="167"/>
      <c r="E68" s="167"/>
      <c r="F68" s="167"/>
      <c r="G68" s="167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5"/>
    </row>
    <row r="69" spans="1:18" s="148" customFormat="1" ht="21" customHeight="1">
      <c r="A69" s="166"/>
      <c r="B69" s="164"/>
      <c r="C69" s="167"/>
      <c r="D69" s="167"/>
      <c r="E69" s="167"/>
      <c r="F69" s="167"/>
      <c r="G69" s="167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5"/>
    </row>
    <row r="70" spans="1:18" s="148" customFormat="1" ht="21" customHeight="1">
      <c r="A70" s="166"/>
      <c r="B70" s="164"/>
      <c r="C70" s="167"/>
      <c r="D70" s="167"/>
      <c r="E70" s="167"/>
      <c r="F70" s="167"/>
      <c r="G70" s="167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5"/>
    </row>
    <row r="71" spans="1:18" s="148" customFormat="1" ht="21" customHeight="1">
      <c r="A71" s="166"/>
      <c r="B71" s="164"/>
      <c r="C71" s="167"/>
      <c r="D71" s="167"/>
      <c r="E71" s="167"/>
      <c r="F71" s="167"/>
      <c r="G71" s="167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5"/>
    </row>
    <row r="72" spans="1:18" s="148" customFormat="1" ht="21" customHeight="1">
      <c r="A72" s="166"/>
      <c r="B72" s="164"/>
      <c r="C72" s="167"/>
      <c r="D72" s="167"/>
      <c r="E72" s="167"/>
      <c r="F72" s="167"/>
      <c r="G72" s="167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5"/>
    </row>
    <row r="73" spans="1:18" s="148" customFormat="1" ht="21" customHeight="1">
      <c r="A73" s="166"/>
      <c r="B73" s="164"/>
      <c r="C73" s="167"/>
      <c r="D73" s="167"/>
      <c r="E73" s="167"/>
      <c r="F73" s="167"/>
      <c r="G73" s="167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5"/>
    </row>
    <row r="74" spans="1:18" s="148" customFormat="1" ht="21" customHeight="1" thickBot="1">
      <c r="A74" s="549" t="s">
        <v>69</v>
      </c>
      <c r="B74" s="549"/>
      <c r="C74" s="549"/>
      <c r="D74" s="549"/>
      <c r="E74" s="549"/>
      <c r="F74" s="549"/>
      <c r="G74" s="549"/>
      <c r="H74" s="549"/>
      <c r="I74" s="549"/>
      <c r="J74" s="549"/>
      <c r="K74" s="549"/>
      <c r="L74" s="549"/>
      <c r="M74" s="549"/>
      <c r="N74" s="549"/>
      <c r="O74" s="549"/>
      <c r="P74" s="549"/>
      <c r="Q74" s="549"/>
      <c r="R74" s="549"/>
    </row>
    <row r="75" spans="1:18" s="134" customFormat="1" ht="21" customHeight="1">
      <c r="A75" s="129" t="s">
        <v>15</v>
      </c>
      <c r="B75" s="544" t="s">
        <v>79</v>
      </c>
      <c r="C75" s="545"/>
      <c r="D75" s="435" t="s">
        <v>82</v>
      </c>
      <c r="E75" s="544" t="s">
        <v>88</v>
      </c>
      <c r="F75" s="545"/>
      <c r="G75" s="130" t="s">
        <v>89</v>
      </c>
      <c r="H75" s="131" t="s">
        <v>92</v>
      </c>
      <c r="I75" s="544" t="s">
        <v>83</v>
      </c>
      <c r="J75" s="545"/>
      <c r="K75" s="132" t="s">
        <v>93</v>
      </c>
      <c r="L75" s="544" t="s">
        <v>84</v>
      </c>
      <c r="M75" s="546"/>
      <c r="N75" s="545"/>
      <c r="O75" s="132" t="s">
        <v>96</v>
      </c>
      <c r="P75" s="132" t="s">
        <v>112</v>
      </c>
      <c r="Q75" s="130" t="s">
        <v>77</v>
      </c>
      <c r="R75" s="133" t="s">
        <v>16</v>
      </c>
    </row>
    <row r="76" spans="1:18" s="134" customFormat="1" ht="21" customHeight="1" thickBot="1">
      <c r="A76" s="135" t="s">
        <v>17</v>
      </c>
      <c r="B76" s="137" t="s">
        <v>80</v>
      </c>
      <c r="C76" s="138" t="s">
        <v>81</v>
      </c>
      <c r="D76" s="136" t="s">
        <v>73</v>
      </c>
      <c r="E76" s="137" t="s">
        <v>87</v>
      </c>
      <c r="F76" s="137" t="s">
        <v>107</v>
      </c>
      <c r="G76" s="137" t="s">
        <v>90</v>
      </c>
      <c r="H76" s="140" t="s">
        <v>290</v>
      </c>
      <c r="I76" s="136" t="s">
        <v>75</v>
      </c>
      <c r="J76" s="136" t="s">
        <v>76</v>
      </c>
      <c r="K76" s="141" t="s">
        <v>289</v>
      </c>
      <c r="L76" s="432" t="s">
        <v>129</v>
      </c>
      <c r="M76" s="138" t="s">
        <v>85</v>
      </c>
      <c r="N76" s="139" t="s">
        <v>86</v>
      </c>
      <c r="O76" s="141" t="s">
        <v>95</v>
      </c>
      <c r="P76" s="141" t="s">
        <v>113</v>
      </c>
      <c r="Q76" s="136" t="s">
        <v>78</v>
      </c>
      <c r="R76" s="142"/>
    </row>
    <row r="77" spans="1:18" s="148" customFormat="1" ht="21" customHeight="1">
      <c r="A77" s="155">
        <v>533000</v>
      </c>
      <c r="B77" s="153"/>
      <c r="C77" s="162"/>
      <c r="D77" s="144"/>
      <c r="E77" s="159"/>
      <c r="F77" s="159"/>
      <c r="G77" s="145"/>
      <c r="H77" s="153"/>
      <c r="I77" s="153"/>
      <c r="J77" s="153"/>
      <c r="K77" s="151"/>
      <c r="L77" s="434"/>
      <c r="M77" s="168"/>
      <c r="N77" s="161"/>
      <c r="O77" s="151"/>
      <c r="P77" s="151"/>
      <c r="Q77" s="161"/>
      <c r="R77" s="151"/>
    </row>
    <row r="78" spans="1:18" s="148" customFormat="1" ht="21" customHeight="1">
      <c r="A78" s="169">
        <v>330100</v>
      </c>
      <c r="B78" s="150">
        <f>90000-4100-18911-21774.9</f>
        <v>45214.1</v>
      </c>
      <c r="C78" s="150">
        <f>50000-3500-1650-6472-5400-17113</f>
        <v>15865</v>
      </c>
      <c r="D78" s="150">
        <v>0</v>
      </c>
      <c r="E78" s="150">
        <v>0</v>
      </c>
      <c r="F78" s="150">
        <v>0</v>
      </c>
      <c r="G78" s="150">
        <v>0</v>
      </c>
      <c r="H78" s="150">
        <v>0</v>
      </c>
      <c r="I78" s="150">
        <f>20000-3434-8805</f>
        <v>7761</v>
      </c>
      <c r="J78" s="150">
        <v>0</v>
      </c>
      <c r="K78" s="150">
        <v>0</v>
      </c>
      <c r="L78" s="150">
        <v>0</v>
      </c>
      <c r="M78" s="150">
        <v>0</v>
      </c>
      <c r="N78" s="150">
        <v>0</v>
      </c>
      <c r="O78" s="150">
        <v>0</v>
      </c>
      <c r="P78" s="150">
        <v>0</v>
      </c>
      <c r="Q78" s="150">
        <v>0</v>
      </c>
      <c r="R78" s="151">
        <f aca="true" t="shared" si="10" ref="R78:R91">SUM(B78:Q78)</f>
        <v>68840.1</v>
      </c>
    </row>
    <row r="79" spans="1:18" s="148" customFormat="1" ht="21" customHeight="1">
      <c r="A79" s="169">
        <v>330200</v>
      </c>
      <c r="B79" s="150">
        <v>20000</v>
      </c>
      <c r="C79" s="150">
        <v>0</v>
      </c>
      <c r="D79" s="150">
        <v>0</v>
      </c>
      <c r="E79" s="150">
        <v>0</v>
      </c>
      <c r="F79" s="150">
        <v>0</v>
      </c>
      <c r="G79" s="150">
        <v>0</v>
      </c>
      <c r="H79" s="150">
        <v>0</v>
      </c>
      <c r="I79" s="150">
        <f>30000-29974+17000-9955-11380</f>
        <v>-4309</v>
      </c>
      <c r="J79" s="150">
        <v>0</v>
      </c>
      <c r="K79" s="150">
        <v>0</v>
      </c>
      <c r="L79" s="150">
        <v>0</v>
      </c>
      <c r="M79" s="150">
        <v>0</v>
      </c>
      <c r="N79" s="150">
        <v>0</v>
      </c>
      <c r="O79" s="150">
        <v>0</v>
      </c>
      <c r="P79" s="150">
        <v>0</v>
      </c>
      <c r="Q79" s="150">
        <v>0</v>
      </c>
      <c r="R79" s="151">
        <f t="shared" si="10"/>
        <v>15691</v>
      </c>
    </row>
    <row r="80" spans="1:18" s="148" customFormat="1" ht="21" customHeight="1">
      <c r="A80" s="158">
        <v>330300</v>
      </c>
      <c r="B80" s="150">
        <f>10000-3720-4506</f>
        <v>1774</v>
      </c>
      <c r="C80" s="150">
        <v>0</v>
      </c>
      <c r="D80" s="150">
        <v>0</v>
      </c>
      <c r="E80" s="150">
        <v>0</v>
      </c>
      <c r="F80" s="150">
        <v>0</v>
      </c>
      <c r="G80" s="150">
        <v>0</v>
      </c>
      <c r="H80" s="150">
        <v>0</v>
      </c>
      <c r="I80" s="150">
        <v>0</v>
      </c>
      <c r="J80" s="150">
        <v>0</v>
      </c>
      <c r="K80" s="150">
        <v>0</v>
      </c>
      <c r="L80" s="150">
        <v>0</v>
      </c>
      <c r="M80" s="150">
        <v>0</v>
      </c>
      <c r="N80" s="150">
        <v>0</v>
      </c>
      <c r="O80" s="150">
        <v>0</v>
      </c>
      <c r="P80" s="150">
        <f>70000-44650+75000-60300-39800+90000</f>
        <v>90250</v>
      </c>
      <c r="Q80" s="150">
        <v>0</v>
      </c>
      <c r="R80" s="151">
        <f t="shared" si="10"/>
        <v>92024</v>
      </c>
    </row>
    <row r="81" spans="1:18" s="148" customFormat="1" ht="21" customHeight="1">
      <c r="A81" s="158">
        <v>330600</v>
      </c>
      <c r="B81" s="150">
        <v>5000</v>
      </c>
      <c r="C81" s="150">
        <v>0</v>
      </c>
      <c r="D81" s="150">
        <v>0</v>
      </c>
      <c r="E81" s="150">
        <v>0</v>
      </c>
      <c r="F81" s="150">
        <v>0</v>
      </c>
      <c r="G81" s="150">
        <v>0</v>
      </c>
      <c r="H81" s="150">
        <v>0</v>
      </c>
      <c r="I81" s="150">
        <f>10000</f>
        <v>10000</v>
      </c>
      <c r="J81" s="150">
        <v>0</v>
      </c>
      <c r="K81" s="150">
        <v>0</v>
      </c>
      <c r="L81" s="150">
        <v>0</v>
      </c>
      <c r="M81" s="150">
        <v>0</v>
      </c>
      <c r="N81" s="150">
        <v>0</v>
      </c>
      <c r="O81" s="150">
        <v>0</v>
      </c>
      <c r="P81" s="150">
        <f>15000+70000-18840-1664-26972</f>
        <v>37524</v>
      </c>
      <c r="Q81" s="150">
        <v>0</v>
      </c>
      <c r="R81" s="151">
        <f t="shared" si="10"/>
        <v>52524</v>
      </c>
    </row>
    <row r="82" spans="1:18" s="148" customFormat="1" ht="21" customHeight="1">
      <c r="A82" s="158">
        <v>330700</v>
      </c>
      <c r="B82" s="150">
        <f>30000-11760</f>
        <v>18240</v>
      </c>
      <c r="C82" s="150">
        <v>0</v>
      </c>
      <c r="D82" s="150">
        <v>0</v>
      </c>
      <c r="E82" s="150">
        <v>0</v>
      </c>
      <c r="F82" s="150">
        <v>0</v>
      </c>
      <c r="G82" s="150">
        <v>0</v>
      </c>
      <c r="H82" s="150">
        <v>0</v>
      </c>
      <c r="I82" s="150">
        <v>0</v>
      </c>
      <c r="J82" s="150">
        <v>0</v>
      </c>
      <c r="K82" s="150">
        <v>0</v>
      </c>
      <c r="L82" s="150">
        <v>0</v>
      </c>
      <c r="M82" s="150">
        <v>0</v>
      </c>
      <c r="N82" s="150">
        <v>0</v>
      </c>
      <c r="O82" s="150">
        <v>0</v>
      </c>
      <c r="P82" s="150">
        <v>0</v>
      </c>
      <c r="Q82" s="150">
        <v>0</v>
      </c>
      <c r="R82" s="151">
        <f t="shared" si="10"/>
        <v>18240</v>
      </c>
    </row>
    <row r="83" spans="1:18" s="148" customFormat="1" ht="21" customHeight="1">
      <c r="A83" s="158">
        <v>330800</v>
      </c>
      <c r="B83" s="150">
        <f>250000-5902-8196-13274-16276-13067-16047-20735-20325-20800</f>
        <v>115378</v>
      </c>
      <c r="C83" s="150">
        <v>0</v>
      </c>
      <c r="D83" s="150">
        <v>0</v>
      </c>
      <c r="E83" s="150">
        <v>0</v>
      </c>
      <c r="F83" s="150">
        <v>0</v>
      </c>
      <c r="G83" s="150">
        <v>0</v>
      </c>
      <c r="H83" s="150">
        <v>0</v>
      </c>
      <c r="I83" s="150">
        <v>0</v>
      </c>
      <c r="J83" s="150">
        <v>0</v>
      </c>
      <c r="K83" s="150">
        <v>0</v>
      </c>
      <c r="L83" s="150">
        <v>0</v>
      </c>
      <c r="M83" s="150">
        <v>0</v>
      </c>
      <c r="N83" s="150">
        <v>0</v>
      </c>
      <c r="O83" s="150">
        <v>0</v>
      </c>
      <c r="P83" s="150">
        <v>0</v>
      </c>
      <c r="Q83" s="150">
        <v>0</v>
      </c>
      <c r="R83" s="151">
        <f t="shared" si="10"/>
        <v>115378</v>
      </c>
    </row>
    <row r="84" spans="1:18" s="148" customFormat="1" ht="21" customHeight="1">
      <c r="A84" s="158">
        <v>330900</v>
      </c>
      <c r="B84" s="150">
        <v>0</v>
      </c>
      <c r="C84" s="150">
        <v>0</v>
      </c>
      <c r="D84" s="150">
        <v>0</v>
      </c>
      <c r="E84" s="150">
        <v>0</v>
      </c>
      <c r="F84" s="150">
        <v>0</v>
      </c>
      <c r="G84" s="150">
        <v>0</v>
      </c>
      <c r="H84" s="150">
        <v>0</v>
      </c>
      <c r="I84" s="150">
        <v>0</v>
      </c>
      <c r="J84" s="150">
        <v>0</v>
      </c>
      <c r="K84" s="150">
        <v>0</v>
      </c>
      <c r="L84" s="150">
        <v>0</v>
      </c>
      <c r="M84" s="150">
        <v>0</v>
      </c>
      <c r="N84" s="150">
        <v>0</v>
      </c>
      <c r="O84" s="150">
        <v>0</v>
      </c>
      <c r="P84" s="150">
        <v>0</v>
      </c>
      <c r="Q84" s="150">
        <v>0</v>
      </c>
      <c r="R84" s="151">
        <f t="shared" si="10"/>
        <v>0</v>
      </c>
    </row>
    <row r="85" spans="1:18" s="148" customFormat="1" ht="21" customHeight="1">
      <c r="A85" s="158">
        <v>331000</v>
      </c>
      <c r="B85" s="150">
        <v>0</v>
      </c>
      <c r="C85" s="150">
        <v>0</v>
      </c>
      <c r="D85" s="150">
        <v>0</v>
      </c>
      <c r="E85" s="150">
        <v>0</v>
      </c>
      <c r="F85" s="150">
        <v>0</v>
      </c>
      <c r="G85" s="150">
        <v>0</v>
      </c>
      <c r="H85" s="150">
        <v>0</v>
      </c>
      <c r="I85" s="150">
        <v>0</v>
      </c>
      <c r="J85" s="150">
        <v>0</v>
      </c>
      <c r="K85" s="150">
        <v>0</v>
      </c>
      <c r="L85" s="150">
        <v>0</v>
      </c>
      <c r="M85" s="150">
        <v>0</v>
      </c>
      <c r="N85" s="150">
        <v>0</v>
      </c>
      <c r="O85" s="150">
        <f>30000+20000</f>
        <v>50000</v>
      </c>
      <c r="P85" s="150">
        <v>0</v>
      </c>
      <c r="Q85" s="150">
        <v>0</v>
      </c>
      <c r="R85" s="151">
        <f t="shared" si="10"/>
        <v>50000</v>
      </c>
    </row>
    <row r="86" spans="1:18" s="148" customFormat="1" ht="21" customHeight="1">
      <c r="A86" s="158">
        <v>331100</v>
      </c>
      <c r="B86" s="150">
        <f>50000-6600-24850-1350</f>
        <v>17200</v>
      </c>
      <c r="C86" s="150">
        <f>10000-9000</f>
        <v>1000</v>
      </c>
      <c r="D86" s="150">
        <v>0</v>
      </c>
      <c r="E86" s="150">
        <v>0</v>
      </c>
      <c r="F86" s="150">
        <v>0</v>
      </c>
      <c r="G86" s="150">
        <v>0</v>
      </c>
      <c r="H86" s="150">
        <v>0</v>
      </c>
      <c r="I86" s="150">
        <f>5000-3850</f>
        <v>1150</v>
      </c>
      <c r="J86" s="150">
        <v>0</v>
      </c>
      <c r="K86" s="150">
        <v>0</v>
      </c>
      <c r="L86" s="150">
        <v>0</v>
      </c>
      <c r="M86" s="150">
        <v>0</v>
      </c>
      <c r="N86" s="150">
        <v>0</v>
      </c>
      <c r="O86" s="150">
        <v>0</v>
      </c>
      <c r="P86" s="150">
        <v>0</v>
      </c>
      <c r="Q86" s="150">
        <v>0</v>
      </c>
      <c r="R86" s="151">
        <f t="shared" si="10"/>
        <v>19350</v>
      </c>
    </row>
    <row r="87" spans="1:18" s="148" customFormat="1" ht="21" customHeight="1">
      <c r="A87" s="158">
        <v>331400</v>
      </c>
      <c r="B87" s="150">
        <f>40000-26950-12440+10000</f>
        <v>10610</v>
      </c>
      <c r="C87" s="150">
        <f>20000-12320-6260</f>
        <v>1420</v>
      </c>
      <c r="D87" s="150">
        <v>0</v>
      </c>
      <c r="E87" s="150">
        <v>0</v>
      </c>
      <c r="F87" s="150">
        <v>0</v>
      </c>
      <c r="G87" s="150">
        <v>0</v>
      </c>
      <c r="H87" s="150">
        <v>0</v>
      </c>
      <c r="I87" s="150">
        <f>20000-6790-1370</f>
        <v>11840</v>
      </c>
      <c r="J87" s="150">
        <v>0</v>
      </c>
      <c r="K87" s="150">
        <v>0</v>
      </c>
      <c r="L87" s="150">
        <v>0</v>
      </c>
      <c r="M87" s="150">
        <v>0</v>
      </c>
      <c r="N87" s="150">
        <v>0</v>
      </c>
      <c r="O87" s="150">
        <v>0</v>
      </c>
      <c r="P87" s="150">
        <v>0</v>
      </c>
      <c r="Q87" s="150">
        <v>0</v>
      </c>
      <c r="R87" s="151">
        <f t="shared" si="10"/>
        <v>23870</v>
      </c>
    </row>
    <row r="88" spans="1:18" s="148" customFormat="1" ht="21" customHeight="1">
      <c r="A88" s="158">
        <v>331700</v>
      </c>
      <c r="B88" s="150">
        <f>36500-3100-6100-5900-9200</f>
        <v>12200</v>
      </c>
      <c r="C88" s="150">
        <v>0</v>
      </c>
      <c r="D88" s="150">
        <v>0</v>
      </c>
      <c r="E88" s="150">
        <v>0</v>
      </c>
      <c r="F88" s="150">
        <f>988680-427284</f>
        <v>561396</v>
      </c>
      <c r="G88" s="150">
        <v>0</v>
      </c>
      <c r="H88" s="150">
        <v>0</v>
      </c>
      <c r="I88" s="150">
        <v>0</v>
      </c>
      <c r="J88" s="150">
        <v>0</v>
      </c>
      <c r="K88" s="150">
        <v>0</v>
      </c>
      <c r="L88" s="150">
        <v>0</v>
      </c>
      <c r="M88" s="150">
        <v>0</v>
      </c>
      <c r="N88" s="150">
        <v>0</v>
      </c>
      <c r="O88" s="150">
        <v>0</v>
      </c>
      <c r="P88" s="150">
        <v>0</v>
      </c>
      <c r="Q88" s="150">
        <v>0</v>
      </c>
      <c r="R88" s="151">
        <f t="shared" si="10"/>
        <v>573596</v>
      </c>
    </row>
    <row r="89" spans="1:18" s="148" customFormat="1" ht="21" customHeight="1">
      <c r="A89" s="158">
        <v>331800</v>
      </c>
      <c r="B89" s="150">
        <v>10000</v>
      </c>
      <c r="C89" s="150">
        <v>0</v>
      </c>
      <c r="D89" s="150">
        <v>0</v>
      </c>
      <c r="E89" s="150">
        <v>0</v>
      </c>
      <c r="F89" s="150">
        <v>0</v>
      </c>
      <c r="G89" s="150">
        <v>0</v>
      </c>
      <c r="H89" s="150">
        <v>0</v>
      </c>
      <c r="I89" s="150">
        <v>0</v>
      </c>
      <c r="J89" s="150">
        <v>0</v>
      </c>
      <c r="K89" s="150">
        <v>0</v>
      </c>
      <c r="L89" s="150">
        <v>0</v>
      </c>
      <c r="M89" s="150">
        <v>0</v>
      </c>
      <c r="N89" s="150">
        <v>0</v>
      </c>
      <c r="O89" s="150">
        <v>0</v>
      </c>
      <c r="P89" s="150">
        <v>0</v>
      </c>
      <c r="Q89" s="150">
        <v>0</v>
      </c>
      <c r="R89" s="151">
        <f t="shared" si="10"/>
        <v>10000</v>
      </c>
    </row>
    <row r="90" spans="1:18" s="148" customFormat="1" ht="21" customHeight="1">
      <c r="A90" s="158">
        <v>331900</v>
      </c>
      <c r="B90" s="150">
        <v>0</v>
      </c>
      <c r="C90" s="150">
        <v>0</v>
      </c>
      <c r="D90" s="150">
        <v>0</v>
      </c>
      <c r="E90" s="150">
        <v>0</v>
      </c>
      <c r="F90" s="150">
        <v>0</v>
      </c>
      <c r="G90" s="150">
        <v>0</v>
      </c>
      <c r="H90" s="150">
        <v>0</v>
      </c>
      <c r="I90" s="150">
        <v>0</v>
      </c>
      <c r="J90" s="150">
        <v>0</v>
      </c>
      <c r="K90" s="150">
        <v>0</v>
      </c>
      <c r="L90" s="150">
        <v>0</v>
      </c>
      <c r="M90" s="150">
        <v>0</v>
      </c>
      <c r="N90" s="150">
        <v>0</v>
      </c>
      <c r="O90" s="150">
        <v>0</v>
      </c>
      <c r="P90" s="150">
        <v>0</v>
      </c>
      <c r="Q90" s="150">
        <v>0</v>
      </c>
      <c r="R90" s="151">
        <f t="shared" si="10"/>
        <v>0</v>
      </c>
    </row>
    <row r="91" spans="1:18" s="148" customFormat="1" ht="21" customHeight="1">
      <c r="A91" s="152" t="s">
        <v>18</v>
      </c>
      <c r="B91" s="153">
        <f aca="true" t="shared" si="11" ref="B91:Q91">SUM(B78:B90)</f>
        <v>255616.1</v>
      </c>
      <c r="C91" s="153">
        <f t="shared" si="11"/>
        <v>18285</v>
      </c>
      <c r="D91" s="153">
        <f t="shared" si="11"/>
        <v>0</v>
      </c>
      <c r="E91" s="153">
        <f t="shared" si="11"/>
        <v>0</v>
      </c>
      <c r="F91" s="153">
        <f t="shared" si="11"/>
        <v>561396</v>
      </c>
      <c r="G91" s="153">
        <f t="shared" si="11"/>
        <v>0</v>
      </c>
      <c r="H91" s="153">
        <f t="shared" si="11"/>
        <v>0</v>
      </c>
      <c r="I91" s="153">
        <f t="shared" si="11"/>
        <v>26442</v>
      </c>
      <c r="J91" s="153">
        <f t="shared" si="11"/>
        <v>0</v>
      </c>
      <c r="K91" s="153">
        <f t="shared" si="11"/>
        <v>0</v>
      </c>
      <c r="L91" s="153">
        <f t="shared" si="11"/>
        <v>0</v>
      </c>
      <c r="M91" s="153">
        <f t="shared" si="11"/>
        <v>0</v>
      </c>
      <c r="N91" s="153">
        <f t="shared" si="11"/>
        <v>0</v>
      </c>
      <c r="O91" s="153">
        <f t="shared" si="11"/>
        <v>50000</v>
      </c>
      <c r="P91" s="153">
        <f t="shared" si="11"/>
        <v>127774</v>
      </c>
      <c r="Q91" s="153">
        <f t="shared" si="11"/>
        <v>0</v>
      </c>
      <c r="R91" s="151">
        <f t="shared" si="10"/>
        <v>1039513.1</v>
      </c>
    </row>
    <row r="92" spans="1:18" s="148" customFormat="1" ht="21" customHeight="1">
      <c r="A92" s="155">
        <v>534000</v>
      </c>
      <c r="B92" s="153"/>
      <c r="C92" s="157"/>
      <c r="D92" s="156"/>
      <c r="E92" s="157"/>
      <c r="F92" s="157"/>
      <c r="G92" s="156"/>
      <c r="H92" s="153"/>
      <c r="I92" s="156"/>
      <c r="J92" s="156"/>
      <c r="K92" s="151"/>
      <c r="L92" s="156"/>
      <c r="M92" s="156"/>
      <c r="N92" s="156"/>
      <c r="O92" s="151"/>
      <c r="P92" s="151"/>
      <c r="Q92" s="156"/>
      <c r="R92" s="151"/>
    </row>
    <row r="93" spans="1:18" s="148" customFormat="1" ht="21" customHeight="1">
      <c r="A93" s="158">
        <v>340100</v>
      </c>
      <c r="B93" s="150">
        <f>120000-7341.12-8915.55-10876.53-7205.57-7563.7-8110.67-11592.57-15425.29-17389.76</f>
        <v>25579.240000000016</v>
      </c>
      <c r="C93" s="150">
        <v>0</v>
      </c>
      <c r="D93" s="150">
        <v>0</v>
      </c>
      <c r="E93" s="150">
        <v>0</v>
      </c>
      <c r="F93" s="150">
        <v>0</v>
      </c>
      <c r="G93" s="150">
        <v>0</v>
      </c>
      <c r="H93" s="150">
        <v>0</v>
      </c>
      <c r="I93" s="150">
        <v>0</v>
      </c>
      <c r="J93" s="150">
        <v>0</v>
      </c>
      <c r="K93" s="150">
        <v>0</v>
      </c>
      <c r="L93" s="150">
        <v>0</v>
      </c>
      <c r="M93" s="150">
        <v>0</v>
      </c>
      <c r="N93" s="150">
        <v>0</v>
      </c>
      <c r="O93" s="150">
        <v>0</v>
      </c>
      <c r="P93" s="150">
        <f>100000-10415.56-13898.17-11830.4-12048.03-11233.06-11554.09-13801.33-11340.05-16212.94+60000</f>
        <v>47666.37000000001</v>
      </c>
      <c r="Q93" s="150">
        <v>0</v>
      </c>
      <c r="R93" s="151">
        <f>SUM(B93:Q93)</f>
        <v>73245.61000000003</v>
      </c>
    </row>
    <row r="94" spans="1:18" s="148" customFormat="1" ht="21" customHeight="1">
      <c r="A94" s="158">
        <v>340300</v>
      </c>
      <c r="B94" s="150">
        <f>16000-578.55-633.44-740.17-548.06-1032.06-1321.77</f>
        <v>11145.95</v>
      </c>
      <c r="C94" s="150">
        <v>0</v>
      </c>
      <c r="D94" s="150">
        <v>0</v>
      </c>
      <c r="E94" s="150">
        <v>0</v>
      </c>
      <c r="F94" s="150">
        <v>0</v>
      </c>
      <c r="G94" s="150">
        <v>0</v>
      </c>
      <c r="H94" s="150">
        <v>0</v>
      </c>
      <c r="I94" s="150">
        <v>0</v>
      </c>
      <c r="J94" s="150">
        <v>0</v>
      </c>
      <c r="K94" s="150">
        <v>0</v>
      </c>
      <c r="L94" s="150">
        <v>0</v>
      </c>
      <c r="M94" s="150">
        <v>0</v>
      </c>
      <c r="N94" s="150">
        <v>0</v>
      </c>
      <c r="O94" s="150">
        <v>0</v>
      </c>
      <c r="P94" s="150">
        <v>0</v>
      </c>
      <c r="Q94" s="150">
        <v>0</v>
      </c>
      <c r="R94" s="151">
        <f>SUM(B94:Q94)</f>
        <v>11145.95</v>
      </c>
    </row>
    <row r="95" spans="1:18" s="148" customFormat="1" ht="21" customHeight="1">
      <c r="A95" s="158">
        <v>340400</v>
      </c>
      <c r="B95" s="150">
        <f>10000-481-2889</f>
        <v>6630</v>
      </c>
      <c r="C95" s="150">
        <v>0</v>
      </c>
      <c r="D95" s="150">
        <v>0</v>
      </c>
      <c r="E95" s="150">
        <v>0</v>
      </c>
      <c r="F95" s="150">
        <v>0</v>
      </c>
      <c r="G95" s="150">
        <v>0</v>
      </c>
      <c r="H95" s="150">
        <v>0</v>
      </c>
      <c r="I95" s="150">
        <v>0</v>
      </c>
      <c r="J95" s="150">
        <v>0</v>
      </c>
      <c r="K95" s="150">
        <v>0</v>
      </c>
      <c r="L95" s="150">
        <v>0</v>
      </c>
      <c r="M95" s="150">
        <v>0</v>
      </c>
      <c r="N95" s="150">
        <v>0</v>
      </c>
      <c r="O95" s="150">
        <v>0</v>
      </c>
      <c r="P95" s="150">
        <v>0</v>
      </c>
      <c r="Q95" s="150">
        <v>0</v>
      </c>
      <c r="R95" s="151">
        <f>SUM(B95:Q95)</f>
        <v>6630</v>
      </c>
    </row>
    <row r="96" spans="1:18" s="148" customFormat="1" ht="21" customHeight="1">
      <c r="A96" s="158">
        <v>340500</v>
      </c>
      <c r="B96" s="150">
        <f>62916-5243-5243-5243-5243-5243-6955-6955-6955</f>
        <v>15836</v>
      </c>
      <c r="C96" s="150">
        <v>0</v>
      </c>
      <c r="D96" s="150">
        <v>0</v>
      </c>
      <c r="E96" s="150">
        <v>0</v>
      </c>
      <c r="F96" s="150">
        <v>0</v>
      </c>
      <c r="G96" s="150">
        <v>0</v>
      </c>
      <c r="H96" s="150">
        <v>0</v>
      </c>
      <c r="I96" s="150">
        <v>0</v>
      </c>
      <c r="J96" s="150">
        <v>0</v>
      </c>
      <c r="K96" s="150">
        <v>0</v>
      </c>
      <c r="L96" s="150">
        <v>0</v>
      </c>
      <c r="M96" s="150">
        <v>0</v>
      </c>
      <c r="N96" s="150">
        <v>0</v>
      </c>
      <c r="O96" s="150">
        <v>0</v>
      </c>
      <c r="P96" s="150">
        <v>0</v>
      </c>
      <c r="Q96" s="150">
        <v>0</v>
      </c>
      <c r="R96" s="151">
        <f>SUM(B96:Q96)</f>
        <v>15836</v>
      </c>
    </row>
    <row r="97" spans="1:18" s="148" customFormat="1" ht="21" customHeight="1">
      <c r="A97" s="152" t="s">
        <v>18</v>
      </c>
      <c r="B97" s="156">
        <f aca="true" t="shared" si="12" ref="B97:Q97">SUM(B93:B96)</f>
        <v>59191.19000000002</v>
      </c>
      <c r="C97" s="156">
        <f t="shared" si="12"/>
        <v>0</v>
      </c>
      <c r="D97" s="156">
        <f t="shared" si="12"/>
        <v>0</v>
      </c>
      <c r="E97" s="156">
        <f t="shared" si="12"/>
        <v>0</v>
      </c>
      <c r="F97" s="156">
        <f t="shared" si="12"/>
        <v>0</v>
      </c>
      <c r="G97" s="156">
        <f t="shared" si="12"/>
        <v>0</v>
      </c>
      <c r="H97" s="156">
        <f t="shared" si="12"/>
        <v>0</v>
      </c>
      <c r="I97" s="156">
        <f t="shared" si="12"/>
        <v>0</v>
      </c>
      <c r="J97" s="156">
        <f t="shared" si="12"/>
        <v>0</v>
      </c>
      <c r="K97" s="156">
        <f t="shared" si="12"/>
        <v>0</v>
      </c>
      <c r="L97" s="156">
        <f t="shared" si="12"/>
        <v>0</v>
      </c>
      <c r="M97" s="156">
        <f t="shared" si="12"/>
        <v>0</v>
      </c>
      <c r="N97" s="156">
        <f t="shared" si="12"/>
        <v>0</v>
      </c>
      <c r="O97" s="156">
        <f t="shared" si="12"/>
        <v>0</v>
      </c>
      <c r="P97" s="156">
        <f t="shared" si="12"/>
        <v>47666.37000000001</v>
      </c>
      <c r="Q97" s="156">
        <f t="shared" si="12"/>
        <v>0</v>
      </c>
      <c r="R97" s="151">
        <f>SUM(B97:Q97)</f>
        <v>106857.56000000003</v>
      </c>
    </row>
    <row r="98" spans="1:18" s="148" customFormat="1" ht="21" customHeight="1">
      <c r="A98" s="166"/>
      <c r="B98" s="170"/>
      <c r="C98" s="165"/>
      <c r="D98" s="165"/>
      <c r="E98" s="165"/>
      <c r="F98" s="165"/>
      <c r="G98" s="165"/>
      <c r="H98" s="170"/>
      <c r="I98" s="170"/>
      <c r="J98" s="165"/>
      <c r="K98" s="165"/>
      <c r="L98" s="165"/>
      <c r="M98" s="165"/>
      <c r="N98" s="170"/>
      <c r="O98" s="170"/>
      <c r="P98" s="170"/>
      <c r="Q98" s="170"/>
      <c r="R98" s="439"/>
    </row>
    <row r="99" spans="1:18" s="148" customFormat="1" ht="21" customHeight="1">
      <c r="A99" s="163"/>
      <c r="B99" s="165"/>
      <c r="C99" s="548" t="s">
        <v>7</v>
      </c>
      <c r="D99" s="548"/>
      <c r="E99" s="167"/>
      <c r="F99" s="167"/>
      <c r="G99" s="167"/>
      <c r="H99" s="165"/>
      <c r="I99" s="165"/>
      <c r="J99" s="538" t="s">
        <v>98</v>
      </c>
      <c r="K99" s="538"/>
      <c r="L99" s="538"/>
      <c r="M99" s="538"/>
      <c r="N99" s="165"/>
      <c r="O99" s="165"/>
      <c r="P99" s="165"/>
      <c r="Q99" s="165"/>
      <c r="R99" s="165"/>
    </row>
    <row r="100" spans="1:18" s="148" customFormat="1" ht="21" customHeight="1">
      <c r="A100" s="163"/>
      <c r="B100" s="165"/>
      <c r="C100" s="167"/>
      <c r="D100" s="167"/>
      <c r="E100" s="167"/>
      <c r="F100" s="167"/>
      <c r="G100" s="167"/>
      <c r="H100" s="165"/>
      <c r="I100" s="165"/>
      <c r="J100" s="85"/>
      <c r="K100" s="85"/>
      <c r="L100" s="85"/>
      <c r="M100" s="85"/>
      <c r="N100" s="165"/>
      <c r="O100" s="165"/>
      <c r="P100" s="165"/>
      <c r="Q100" s="165"/>
      <c r="R100" s="165"/>
    </row>
    <row r="101" spans="1:18" s="148" customFormat="1" ht="21">
      <c r="A101" s="163"/>
      <c r="B101" s="165"/>
      <c r="C101" s="167"/>
      <c r="D101" s="167"/>
      <c r="E101" s="167"/>
      <c r="F101" s="167"/>
      <c r="G101" s="167"/>
      <c r="H101" s="165"/>
      <c r="I101" s="165"/>
      <c r="J101" s="85"/>
      <c r="K101" s="75"/>
      <c r="L101" s="75"/>
      <c r="M101" s="75"/>
      <c r="N101" s="165"/>
      <c r="O101" s="165"/>
      <c r="P101" s="165"/>
      <c r="Q101" s="165"/>
      <c r="R101" s="165"/>
    </row>
    <row r="102" spans="1:18" s="148" customFormat="1" ht="21" customHeight="1">
      <c r="A102" s="163"/>
      <c r="B102" s="165"/>
      <c r="C102" s="548" t="s">
        <v>117</v>
      </c>
      <c r="D102" s="548"/>
      <c r="E102" s="167"/>
      <c r="F102" s="167"/>
      <c r="G102" s="167"/>
      <c r="H102" s="165"/>
      <c r="I102" s="165"/>
      <c r="J102" s="538" t="s">
        <v>300</v>
      </c>
      <c r="K102" s="538"/>
      <c r="L102" s="538"/>
      <c r="M102" s="538"/>
      <c r="N102" s="165"/>
      <c r="O102" s="165"/>
      <c r="P102" s="165"/>
      <c r="Q102" s="165"/>
      <c r="R102" s="165"/>
    </row>
    <row r="103" spans="1:18" s="171" customFormat="1" ht="21" customHeight="1">
      <c r="A103" s="166"/>
      <c r="B103" s="165"/>
      <c r="C103" s="548" t="s">
        <v>329</v>
      </c>
      <c r="D103" s="548"/>
      <c r="E103" s="167"/>
      <c r="F103" s="167"/>
      <c r="G103" s="167"/>
      <c r="H103" s="165"/>
      <c r="I103" s="165"/>
      <c r="J103" s="538" t="s">
        <v>97</v>
      </c>
      <c r="K103" s="538"/>
      <c r="L103" s="538"/>
      <c r="M103" s="538"/>
      <c r="N103" s="165"/>
      <c r="O103" s="165"/>
      <c r="P103" s="165"/>
      <c r="Q103" s="165"/>
      <c r="R103" s="165"/>
    </row>
    <row r="104" spans="1:18" s="171" customFormat="1" ht="21" customHeight="1">
      <c r="A104" s="166"/>
      <c r="B104" s="165"/>
      <c r="C104" s="167"/>
      <c r="D104" s="167"/>
      <c r="E104" s="167"/>
      <c r="F104" s="167"/>
      <c r="G104" s="167"/>
      <c r="H104" s="165"/>
      <c r="I104" s="165"/>
      <c r="J104" s="538"/>
      <c r="K104" s="538"/>
      <c r="L104" s="538"/>
      <c r="M104" s="538"/>
      <c r="N104" s="165"/>
      <c r="O104" s="165"/>
      <c r="P104" s="165"/>
      <c r="Q104" s="165"/>
      <c r="R104" s="165"/>
    </row>
    <row r="105" spans="1:18" s="171" customFormat="1" ht="21" customHeight="1">
      <c r="A105" s="166"/>
      <c r="B105" s="165"/>
      <c r="C105" s="167"/>
      <c r="D105" s="167"/>
      <c r="E105" s="167"/>
      <c r="F105" s="167"/>
      <c r="G105" s="167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</row>
    <row r="106" spans="1:18" s="171" customFormat="1" ht="21" customHeight="1">
      <c r="A106" s="166"/>
      <c r="B106" s="165"/>
      <c r="C106" s="167"/>
      <c r="D106" s="167"/>
      <c r="E106" s="167"/>
      <c r="F106" s="167"/>
      <c r="G106" s="167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</row>
    <row r="107" spans="1:18" s="171" customFormat="1" ht="21" customHeight="1">
      <c r="A107" s="166"/>
      <c r="B107" s="165"/>
      <c r="C107" s="167"/>
      <c r="D107" s="167"/>
      <c r="E107" s="167"/>
      <c r="F107" s="167"/>
      <c r="G107" s="167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</row>
    <row r="108" spans="1:18" s="171" customFormat="1" ht="21" customHeight="1">
      <c r="A108" s="166"/>
      <c r="B108" s="165"/>
      <c r="C108" s="167"/>
      <c r="D108" s="167"/>
      <c r="E108" s="167"/>
      <c r="F108" s="167"/>
      <c r="G108" s="167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</row>
    <row r="109" spans="1:18" s="171" customFormat="1" ht="21" customHeight="1">
      <c r="A109" s="166"/>
      <c r="B109" s="165"/>
      <c r="C109" s="167"/>
      <c r="D109" s="167"/>
      <c r="E109" s="167"/>
      <c r="F109" s="167"/>
      <c r="G109" s="167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</row>
    <row r="110" spans="1:18" s="171" customFormat="1" ht="21" customHeight="1">
      <c r="A110" s="166"/>
      <c r="B110" s="165"/>
      <c r="C110" s="167"/>
      <c r="D110" s="167"/>
      <c r="E110" s="167"/>
      <c r="F110" s="167"/>
      <c r="G110" s="167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</row>
    <row r="111" spans="1:18" s="148" customFormat="1" ht="21" customHeight="1" thickBot="1">
      <c r="A111" s="547" t="s">
        <v>211</v>
      </c>
      <c r="B111" s="547"/>
      <c r="C111" s="547"/>
      <c r="D111" s="547"/>
      <c r="E111" s="547"/>
      <c r="F111" s="547"/>
      <c r="G111" s="547"/>
      <c r="H111" s="547"/>
      <c r="I111" s="547"/>
      <c r="J111" s="547"/>
      <c r="K111" s="547"/>
      <c r="L111" s="547"/>
      <c r="M111" s="547"/>
      <c r="N111" s="547"/>
      <c r="O111" s="547"/>
      <c r="P111" s="547"/>
      <c r="Q111" s="547"/>
      <c r="R111" s="547"/>
    </row>
    <row r="112" spans="1:18" s="134" customFormat="1" ht="21" customHeight="1">
      <c r="A112" s="129" t="s">
        <v>15</v>
      </c>
      <c r="B112" s="544" t="s">
        <v>79</v>
      </c>
      <c r="C112" s="545"/>
      <c r="D112" s="435" t="s">
        <v>82</v>
      </c>
      <c r="E112" s="544" t="s">
        <v>88</v>
      </c>
      <c r="F112" s="545"/>
      <c r="G112" s="130" t="s">
        <v>89</v>
      </c>
      <c r="H112" s="131" t="s">
        <v>92</v>
      </c>
      <c r="I112" s="544" t="s">
        <v>83</v>
      </c>
      <c r="J112" s="545"/>
      <c r="K112" s="132" t="s">
        <v>93</v>
      </c>
      <c r="L112" s="544" t="s">
        <v>84</v>
      </c>
      <c r="M112" s="546"/>
      <c r="N112" s="545"/>
      <c r="O112" s="132" t="s">
        <v>96</v>
      </c>
      <c r="P112" s="132" t="s">
        <v>112</v>
      </c>
      <c r="Q112" s="130" t="s">
        <v>77</v>
      </c>
      <c r="R112" s="133" t="s">
        <v>16</v>
      </c>
    </row>
    <row r="113" spans="1:18" s="134" customFormat="1" ht="21" customHeight="1" thickBot="1">
      <c r="A113" s="135" t="s">
        <v>17</v>
      </c>
      <c r="B113" s="137" t="s">
        <v>80</v>
      </c>
      <c r="C113" s="138" t="s">
        <v>81</v>
      </c>
      <c r="D113" s="136" t="s">
        <v>73</v>
      </c>
      <c r="E113" s="137" t="s">
        <v>87</v>
      </c>
      <c r="F113" s="137" t="s">
        <v>107</v>
      </c>
      <c r="G113" s="137" t="s">
        <v>90</v>
      </c>
      <c r="H113" s="140" t="s">
        <v>290</v>
      </c>
      <c r="I113" s="136" t="s">
        <v>75</v>
      </c>
      <c r="J113" s="136" t="s">
        <v>76</v>
      </c>
      <c r="K113" s="141" t="s">
        <v>289</v>
      </c>
      <c r="L113" s="432" t="s">
        <v>129</v>
      </c>
      <c r="M113" s="138" t="s">
        <v>85</v>
      </c>
      <c r="N113" s="139" t="s">
        <v>86</v>
      </c>
      <c r="O113" s="141" t="s">
        <v>95</v>
      </c>
      <c r="P113" s="141" t="s">
        <v>113</v>
      </c>
      <c r="Q113" s="136" t="s">
        <v>78</v>
      </c>
      <c r="R113" s="142"/>
    </row>
    <row r="114" spans="1:18" s="148" customFormat="1" ht="21" customHeight="1">
      <c r="A114" s="155">
        <v>541000</v>
      </c>
      <c r="B114" s="153"/>
      <c r="C114" s="157"/>
      <c r="D114" s="156"/>
      <c r="E114" s="157"/>
      <c r="F114" s="157"/>
      <c r="G114" s="156"/>
      <c r="H114" s="153"/>
      <c r="I114" s="156"/>
      <c r="J114" s="156"/>
      <c r="K114" s="151"/>
      <c r="L114" s="151"/>
      <c r="M114" s="156"/>
      <c r="N114" s="156"/>
      <c r="O114" s="151"/>
      <c r="P114" s="151"/>
      <c r="Q114" s="156"/>
      <c r="R114" s="151"/>
    </row>
    <row r="115" spans="1:18" s="148" customFormat="1" ht="21" customHeight="1">
      <c r="A115" s="169">
        <v>410100</v>
      </c>
      <c r="B115" s="150">
        <f>8960+5000+15000+80000-4500-17290-5700-7000</f>
        <v>74470</v>
      </c>
      <c r="C115" s="150">
        <f>40000-7600</f>
        <v>32400</v>
      </c>
      <c r="D115" s="150">
        <v>0</v>
      </c>
      <c r="E115" s="150">
        <v>0</v>
      </c>
      <c r="F115" s="150">
        <v>0</v>
      </c>
      <c r="G115" s="150">
        <v>0</v>
      </c>
      <c r="H115" s="150">
        <v>0</v>
      </c>
      <c r="I115" s="150">
        <f>10000+3600+15000+2600+1900+10000+3000</f>
        <v>46100</v>
      </c>
      <c r="J115" s="150">
        <v>0</v>
      </c>
      <c r="K115" s="150">
        <v>0</v>
      </c>
      <c r="L115" s="150">
        <v>0</v>
      </c>
      <c r="M115" s="150">
        <v>0</v>
      </c>
      <c r="N115" s="150">
        <v>0</v>
      </c>
      <c r="O115" s="150">
        <v>0</v>
      </c>
      <c r="P115" s="150">
        <v>0</v>
      </c>
      <c r="Q115" s="150">
        <v>0</v>
      </c>
      <c r="R115" s="151">
        <f aca="true" t="shared" si="13" ref="R115:R123">SUM(B115:Q115)</f>
        <v>152970</v>
      </c>
    </row>
    <row r="116" spans="1:18" s="148" customFormat="1" ht="21" customHeight="1">
      <c r="A116" s="158">
        <v>410300</v>
      </c>
      <c r="B116" s="150">
        <f>28000+80000-64802.5</f>
        <v>43197.5</v>
      </c>
      <c r="C116" s="150">
        <v>0</v>
      </c>
      <c r="D116" s="150">
        <v>0</v>
      </c>
      <c r="E116" s="150">
        <v>0</v>
      </c>
      <c r="F116" s="150">
        <v>0</v>
      </c>
      <c r="G116" s="150">
        <v>0</v>
      </c>
      <c r="H116" s="150">
        <v>0</v>
      </c>
      <c r="I116" s="150">
        <v>0</v>
      </c>
      <c r="J116" s="150">
        <v>0</v>
      </c>
      <c r="K116" s="150">
        <v>0</v>
      </c>
      <c r="L116" s="150">
        <v>0</v>
      </c>
      <c r="M116" s="150">
        <v>0</v>
      </c>
      <c r="N116" s="150">
        <v>0</v>
      </c>
      <c r="O116" s="150">
        <v>0</v>
      </c>
      <c r="P116" s="150">
        <v>0</v>
      </c>
      <c r="Q116" s="150">
        <v>0</v>
      </c>
      <c r="R116" s="151">
        <f t="shared" si="13"/>
        <v>43197.5</v>
      </c>
    </row>
    <row r="117" spans="1:18" s="148" customFormat="1" ht="21" customHeight="1">
      <c r="A117" s="158">
        <v>410400</v>
      </c>
      <c r="B117" s="150">
        <v>0</v>
      </c>
      <c r="C117" s="150">
        <v>0</v>
      </c>
      <c r="D117" s="150">
        <v>0</v>
      </c>
      <c r="E117" s="150">
        <v>0</v>
      </c>
      <c r="F117" s="150">
        <v>0</v>
      </c>
      <c r="G117" s="150">
        <v>0</v>
      </c>
      <c r="H117" s="150">
        <v>0</v>
      </c>
      <c r="I117" s="150">
        <v>165000</v>
      </c>
      <c r="J117" s="150">
        <v>0</v>
      </c>
      <c r="K117" s="150">
        <v>0</v>
      </c>
      <c r="L117" s="150">
        <v>0</v>
      </c>
      <c r="M117" s="150">
        <v>0</v>
      </c>
      <c r="N117" s="150">
        <v>0</v>
      </c>
      <c r="O117" s="150">
        <v>0</v>
      </c>
      <c r="P117" s="150">
        <v>0</v>
      </c>
      <c r="Q117" s="150">
        <v>0</v>
      </c>
      <c r="R117" s="151">
        <f t="shared" si="13"/>
        <v>165000</v>
      </c>
    </row>
    <row r="118" spans="1:18" s="148" customFormat="1" ht="21" customHeight="1">
      <c r="A118" s="158">
        <v>410600</v>
      </c>
      <c r="B118" s="150">
        <v>0</v>
      </c>
      <c r="C118" s="150">
        <v>0</v>
      </c>
      <c r="D118" s="150">
        <v>0</v>
      </c>
      <c r="E118" s="150">
        <v>0</v>
      </c>
      <c r="F118" s="150">
        <v>0</v>
      </c>
      <c r="G118" s="150">
        <v>0</v>
      </c>
      <c r="H118" s="150">
        <v>0</v>
      </c>
      <c r="I118" s="150">
        <v>20000</v>
      </c>
      <c r="J118" s="150">
        <v>0</v>
      </c>
      <c r="K118" s="150">
        <v>0</v>
      </c>
      <c r="L118" s="150">
        <v>0</v>
      </c>
      <c r="M118" s="150">
        <v>0</v>
      </c>
      <c r="N118" s="150">
        <v>0</v>
      </c>
      <c r="O118" s="150">
        <v>0</v>
      </c>
      <c r="P118" s="150">
        <v>0</v>
      </c>
      <c r="Q118" s="150">
        <v>0</v>
      </c>
      <c r="R118" s="151">
        <f t="shared" si="13"/>
        <v>20000</v>
      </c>
    </row>
    <row r="119" spans="1:18" s="148" customFormat="1" ht="21" customHeight="1">
      <c r="A119" s="158">
        <v>410700</v>
      </c>
      <c r="B119" s="150">
        <v>0</v>
      </c>
      <c r="C119" s="150">
        <v>0</v>
      </c>
      <c r="D119" s="150">
        <v>0</v>
      </c>
      <c r="E119" s="150">
        <v>0</v>
      </c>
      <c r="F119" s="150">
        <v>0</v>
      </c>
      <c r="G119" s="150">
        <v>0</v>
      </c>
      <c r="H119" s="150">
        <v>0</v>
      </c>
      <c r="I119" s="150">
        <f>15000+30000</f>
        <v>45000</v>
      </c>
      <c r="J119" s="150">
        <v>0</v>
      </c>
      <c r="K119" s="150">
        <v>0</v>
      </c>
      <c r="L119" s="150">
        <v>0</v>
      </c>
      <c r="M119" s="150">
        <v>0</v>
      </c>
      <c r="N119" s="150">
        <v>0</v>
      </c>
      <c r="O119" s="150">
        <v>0</v>
      </c>
      <c r="P119" s="150">
        <v>0</v>
      </c>
      <c r="Q119" s="150">
        <v>0</v>
      </c>
      <c r="R119" s="151">
        <f t="shared" si="13"/>
        <v>45000</v>
      </c>
    </row>
    <row r="120" spans="1:18" s="148" customFormat="1" ht="21" customHeight="1">
      <c r="A120" s="158">
        <v>410800</v>
      </c>
      <c r="B120" s="150">
        <v>0</v>
      </c>
      <c r="C120" s="150">
        <v>0</v>
      </c>
      <c r="D120" s="150">
        <v>0</v>
      </c>
      <c r="E120" s="150">
        <v>0</v>
      </c>
      <c r="F120" s="150">
        <v>0</v>
      </c>
      <c r="G120" s="150">
        <v>0</v>
      </c>
      <c r="H120" s="150">
        <v>0</v>
      </c>
      <c r="I120" s="150">
        <v>0</v>
      </c>
      <c r="J120" s="150">
        <v>0</v>
      </c>
      <c r="K120" s="150">
        <v>0</v>
      </c>
      <c r="L120" s="150">
        <v>0</v>
      </c>
      <c r="M120" s="150">
        <v>0</v>
      </c>
      <c r="N120" s="150">
        <v>0</v>
      </c>
      <c r="O120" s="150">
        <v>0</v>
      </c>
      <c r="P120" s="150">
        <v>0</v>
      </c>
      <c r="Q120" s="150">
        <v>0</v>
      </c>
      <c r="R120" s="151">
        <f t="shared" si="13"/>
        <v>0</v>
      </c>
    </row>
    <row r="121" spans="1:18" s="148" customFormat="1" ht="21" customHeight="1">
      <c r="A121" s="158">
        <v>410900</v>
      </c>
      <c r="B121" s="150">
        <v>0</v>
      </c>
      <c r="C121" s="150">
        <v>0</v>
      </c>
      <c r="D121" s="150">
        <v>0</v>
      </c>
      <c r="E121" s="150">
        <v>0</v>
      </c>
      <c r="F121" s="150">
        <v>0</v>
      </c>
      <c r="G121" s="150">
        <v>0</v>
      </c>
      <c r="H121" s="150">
        <v>0</v>
      </c>
      <c r="I121" s="150">
        <v>0</v>
      </c>
      <c r="J121" s="150">
        <v>0</v>
      </c>
      <c r="K121" s="150">
        <v>0</v>
      </c>
      <c r="L121" s="150">
        <v>0</v>
      </c>
      <c r="M121" s="150">
        <v>0</v>
      </c>
      <c r="N121" s="150">
        <v>0</v>
      </c>
      <c r="O121" s="150">
        <v>0</v>
      </c>
      <c r="P121" s="150">
        <v>0</v>
      </c>
      <c r="Q121" s="150">
        <v>0</v>
      </c>
      <c r="R121" s="151">
        <f t="shared" si="13"/>
        <v>0</v>
      </c>
    </row>
    <row r="122" spans="1:18" s="148" customFormat="1" ht="21" customHeight="1">
      <c r="A122" s="158">
        <v>411700</v>
      </c>
      <c r="B122" s="150">
        <v>0</v>
      </c>
      <c r="C122" s="150">
        <v>0</v>
      </c>
      <c r="D122" s="150">
        <v>0</v>
      </c>
      <c r="E122" s="150">
        <v>0</v>
      </c>
      <c r="F122" s="150">
        <v>0</v>
      </c>
      <c r="G122" s="150">
        <v>0</v>
      </c>
      <c r="H122" s="150">
        <v>0</v>
      </c>
      <c r="I122" s="150">
        <v>0</v>
      </c>
      <c r="J122" s="150">
        <v>0</v>
      </c>
      <c r="K122" s="150">
        <v>0</v>
      </c>
      <c r="L122" s="150">
        <v>0</v>
      </c>
      <c r="M122" s="150">
        <v>0</v>
      </c>
      <c r="N122" s="150">
        <v>0</v>
      </c>
      <c r="O122" s="150">
        <v>0</v>
      </c>
      <c r="P122" s="150">
        <v>0</v>
      </c>
      <c r="Q122" s="150">
        <v>0</v>
      </c>
      <c r="R122" s="151">
        <f t="shared" si="13"/>
        <v>0</v>
      </c>
    </row>
    <row r="123" spans="1:18" s="148" customFormat="1" ht="21" customHeight="1">
      <c r="A123" s="152" t="s">
        <v>18</v>
      </c>
      <c r="B123" s="156">
        <f aca="true" t="shared" si="14" ref="B123:Q123">SUM(B115:B122)</f>
        <v>117667.5</v>
      </c>
      <c r="C123" s="156">
        <f t="shared" si="14"/>
        <v>32400</v>
      </c>
      <c r="D123" s="156">
        <f t="shared" si="14"/>
        <v>0</v>
      </c>
      <c r="E123" s="156">
        <f t="shared" si="14"/>
        <v>0</v>
      </c>
      <c r="F123" s="156">
        <f t="shared" si="14"/>
        <v>0</v>
      </c>
      <c r="G123" s="156">
        <f t="shared" si="14"/>
        <v>0</v>
      </c>
      <c r="H123" s="156">
        <f t="shared" si="14"/>
        <v>0</v>
      </c>
      <c r="I123" s="156">
        <f t="shared" si="14"/>
        <v>276100</v>
      </c>
      <c r="J123" s="156">
        <f t="shared" si="14"/>
        <v>0</v>
      </c>
      <c r="K123" s="156">
        <f t="shared" si="14"/>
        <v>0</v>
      </c>
      <c r="L123" s="156">
        <f t="shared" si="14"/>
        <v>0</v>
      </c>
      <c r="M123" s="156">
        <f t="shared" si="14"/>
        <v>0</v>
      </c>
      <c r="N123" s="156">
        <f t="shared" si="14"/>
        <v>0</v>
      </c>
      <c r="O123" s="156">
        <f t="shared" si="14"/>
        <v>0</v>
      </c>
      <c r="P123" s="156">
        <f t="shared" si="14"/>
        <v>0</v>
      </c>
      <c r="Q123" s="156">
        <f t="shared" si="14"/>
        <v>0</v>
      </c>
      <c r="R123" s="151">
        <f t="shared" si="13"/>
        <v>426167.5</v>
      </c>
    </row>
    <row r="124" spans="1:18" s="148" customFormat="1" ht="21" customHeight="1">
      <c r="A124" s="155">
        <v>542000</v>
      </c>
      <c r="B124" s="153"/>
      <c r="C124" s="157"/>
      <c r="D124" s="156"/>
      <c r="E124" s="157"/>
      <c r="F124" s="157"/>
      <c r="G124" s="156"/>
      <c r="H124" s="153"/>
      <c r="I124" s="156"/>
      <c r="J124" s="156"/>
      <c r="K124" s="151"/>
      <c r="L124" s="156"/>
      <c r="M124" s="156"/>
      <c r="N124" s="156"/>
      <c r="O124" s="151"/>
      <c r="P124" s="151"/>
      <c r="Q124" s="156"/>
      <c r="R124" s="151"/>
    </row>
    <row r="125" spans="1:18" s="148" customFormat="1" ht="18.75">
      <c r="A125" s="152">
        <v>420900</v>
      </c>
      <c r="B125" s="153">
        <v>0</v>
      </c>
      <c r="C125" s="153">
        <v>0</v>
      </c>
      <c r="D125" s="153">
        <v>0</v>
      </c>
      <c r="E125" s="153">
        <v>0</v>
      </c>
      <c r="F125" s="153">
        <v>0</v>
      </c>
      <c r="G125" s="153">
        <v>0</v>
      </c>
      <c r="H125" s="153">
        <v>0</v>
      </c>
      <c r="I125" s="73">
        <f>224000+265000+176900+180000</f>
        <v>845900</v>
      </c>
      <c r="J125" s="153">
        <v>0</v>
      </c>
      <c r="K125" s="153">
        <v>0</v>
      </c>
      <c r="L125" s="153">
        <v>0</v>
      </c>
      <c r="M125" s="153">
        <v>0</v>
      </c>
      <c r="N125" s="153">
        <v>0</v>
      </c>
      <c r="O125" s="153">
        <v>0</v>
      </c>
      <c r="P125" s="153">
        <v>0</v>
      </c>
      <c r="Q125" s="153">
        <v>0</v>
      </c>
      <c r="R125" s="151">
        <f>SUM(B125:Q125)</f>
        <v>845900</v>
      </c>
    </row>
    <row r="126" spans="1:18" s="148" customFormat="1" ht="18.75">
      <c r="A126" s="152">
        <v>421000</v>
      </c>
      <c r="B126" s="153">
        <v>0</v>
      </c>
      <c r="C126" s="153">
        <v>0</v>
      </c>
      <c r="D126" s="153">
        <v>0</v>
      </c>
      <c r="E126" s="153">
        <v>0</v>
      </c>
      <c r="F126" s="153">
        <v>0</v>
      </c>
      <c r="G126" s="153">
        <v>0</v>
      </c>
      <c r="H126" s="153">
        <v>0</v>
      </c>
      <c r="I126" s="73">
        <f>126000+364000+60000</f>
        <v>550000</v>
      </c>
      <c r="J126" s="73">
        <f>229750+95000+98000+86250+95000+92000+69500+185000+180000+97750+163000-1391250+1391250-43530-81800-153720-1059495</f>
        <v>52705</v>
      </c>
      <c r="K126" s="153">
        <v>0</v>
      </c>
      <c r="L126" s="153">
        <v>0</v>
      </c>
      <c r="M126" s="153">
        <v>0</v>
      </c>
      <c r="N126" s="153">
        <v>0</v>
      </c>
      <c r="O126" s="153">
        <v>0</v>
      </c>
      <c r="P126" s="153">
        <v>0</v>
      </c>
      <c r="Q126" s="153">
        <v>0</v>
      </c>
      <c r="R126" s="151">
        <f>SUM(B126:Q126)</f>
        <v>602705</v>
      </c>
    </row>
    <row r="127" spans="1:18" s="148" customFormat="1" ht="21" customHeight="1">
      <c r="A127" s="152" t="s">
        <v>18</v>
      </c>
      <c r="B127" s="156">
        <f aca="true" t="shared" si="15" ref="B127:Q127">SUM(B125:B126)</f>
        <v>0</v>
      </c>
      <c r="C127" s="156">
        <f t="shared" si="15"/>
        <v>0</v>
      </c>
      <c r="D127" s="156">
        <f t="shared" si="15"/>
        <v>0</v>
      </c>
      <c r="E127" s="156">
        <f t="shared" si="15"/>
        <v>0</v>
      </c>
      <c r="F127" s="156">
        <f t="shared" si="15"/>
        <v>0</v>
      </c>
      <c r="G127" s="156">
        <f t="shared" si="15"/>
        <v>0</v>
      </c>
      <c r="H127" s="156">
        <f t="shared" si="15"/>
        <v>0</v>
      </c>
      <c r="I127" s="156">
        <f t="shared" si="15"/>
        <v>1395900</v>
      </c>
      <c r="J127" s="156">
        <f t="shared" si="15"/>
        <v>52705</v>
      </c>
      <c r="K127" s="156">
        <f t="shared" si="15"/>
        <v>0</v>
      </c>
      <c r="L127" s="156">
        <f t="shared" si="15"/>
        <v>0</v>
      </c>
      <c r="M127" s="156">
        <f t="shared" si="15"/>
        <v>0</v>
      </c>
      <c r="N127" s="156">
        <f t="shared" si="15"/>
        <v>0</v>
      </c>
      <c r="O127" s="156">
        <f t="shared" si="15"/>
        <v>0</v>
      </c>
      <c r="P127" s="156">
        <f t="shared" si="15"/>
        <v>0</v>
      </c>
      <c r="Q127" s="156">
        <f t="shared" si="15"/>
        <v>0</v>
      </c>
      <c r="R127" s="151">
        <f>SUM(B127:Q127)</f>
        <v>1448605</v>
      </c>
    </row>
    <row r="128" spans="1:18" s="148" customFormat="1" ht="21" customHeight="1">
      <c r="A128" s="155">
        <v>551000</v>
      </c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1"/>
    </row>
    <row r="129" spans="1:18" s="148" customFormat="1" ht="21" customHeight="1">
      <c r="A129" s="158">
        <v>510100</v>
      </c>
      <c r="B129" s="150">
        <v>25000</v>
      </c>
      <c r="C129" s="150">
        <v>0</v>
      </c>
      <c r="D129" s="150">
        <f>100000+18000-75925-8762</f>
        <v>33313</v>
      </c>
      <c r="E129" s="150">
        <v>0</v>
      </c>
      <c r="F129" s="150">
        <v>20000</v>
      </c>
      <c r="G129" s="150">
        <v>0</v>
      </c>
      <c r="H129" s="150">
        <v>0</v>
      </c>
      <c r="I129" s="150">
        <v>0</v>
      </c>
      <c r="J129" s="150">
        <v>0</v>
      </c>
      <c r="K129" s="150">
        <v>10000</v>
      </c>
      <c r="L129" s="150">
        <v>0</v>
      </c>
      <c r="M129" s="150">
        <v>0</v>
      </c>
      <c r="N129" s="150">
        <v>0</v>
      </c>
      <c r="O129" s="150">
        <f>10000+5000-3500</f>
        <v>11500</v>
      </c>
      <c r="P129" s="150">
        <v>0</v>
      </c>
      <c r="Q129" s="150">
        <v>0</v>
      </c>
      <c r="R129" s="151">
        <f>SUM(B129:Q129)</f>
        <v>99813</v>
      </c>
    </row>
    <row r="130" spans="1:18" s="148" customFormat="1" ht="21" customHeight="1">
      <c r="A130" s="152" t="s">
        <v>18</v>
      </c>
      <c r="B130" s="153">
        <f aca="true" t="shared" si="16" ref="B130:Q130">SUM(B129)</f>
        <v>25000</v>
      </c>
      <c r="C130" s="153">
        <f t="shared" si="16"/>
        <v>0</v>
      </c>
      <c r="D130" s="153">
        <f t="shared" si="16"/>
        <v>33313</v>
      </c>
      <c r="E130" s="153">
        <f t="shared" si="16"/>
        <v>0</v>
      </c>
      <c r="F130" s="153">
        <f t="shared" si="16"/>
        <v>20000</v>
      </c>
      <c r="G130" s="153">
        <f t="shared" si="16"/>
        <v>0</v>
      </c>
      <c r="H130" s="153">
        <f t="shared" si="16"/>
        <v>0</v>
      </c>
      <c r="I130" s="153">
        <f t="shared" si="16"/>
        <v>0</v>
      </c>
      <c r="J130" s="153">
        <f t="shared" si="16"/>
        <v>0</v>
      </c>
      <c r="K130" s="153">
        <f t="shared" si="16"/>
        <v>10000</v>
      </c>
      <c r="L130" s="153">
        <f t="shared" si="16"/>
        <v>0</v>
      </c>
      <c r="M130" s="153">
        <f t="shared" si="16"/>
        <v>0</v>
      </c>
      <c r="N130" s="153">
        <f t="shared" si="16"/>
        <v>0</v>
      </c>
      <c r="O130" s="153">
        <f t="shared" si="16"/>
        <v>11500</v>
      </c>
      <c r="P130" s="153">
        <f t="shared" si="16"/>
        <v>0</v>
      </c>
      <c r="Q130" s="153">
        <f t="shared" si="16"/>
        <v>0</v>
      </c>
      <c r="R130" s="151">
        <f>SUM(B130:Q130)</f>
        <v>99813</v>
      </c>
    </row>
    <row r="131" spans="1:18" s="148" customFormat="1" ht="21" customHeight="1">
      <c r="A131" s="155">
        <v>561000</v>
      </c>
      <c r="B131" s="153"/>
      <c r="C131" s="157"/>
      <c r="D131" s="156"/>
      <c r="E131" s="157"/>
      <c r="F131" s="157"/>
      <c r="G131" s="156"/>
      <c r="H131" s="153"/>
      <c r="I131" s="156"/>
      <c r="J131" s="156"/>
      <c r="K131" s="151"/>
      <c r="L131" s="156"/>
      <c r="M131" s="156"/>
      <c r="N131" s="156"/>
      <c r="O131" s="151"/>
      <c r="P131" s="151"/>
      <c r="Q131" s="156"/>
      <c r="R131" s="151"/>
    </row>
    <row r="132" spans="1:18" s="148" customFormat="1" ht="21" customHeight="1">
      <c r="A132" s="158">
        <v>610200</v>
      </c>
      <c r="B132" s="150">
        <v>0</v>
      </c>
      <c r="C132" s="150">
        <v>0</v>
      </c>
      <c r="D132" s="150">
        <v>0</v>
      </c>
      <c r="E132" s="150">
        <v>0</v>
      </c>
      <c r="F132" s="150">
        <f>182000+169000+96200+483600-465400</f>
        <v>465400</v>
      </c>
      <c r="G132" s="150">
        <v>0</v>
      </c>
      <c r="H132" s="150">
        <v>0</v>
      </c>
      <c r="I132" s="150">
        <v>0</v>
      </c>
      <c r="J132" s="150">
        <v>0</v>
      </c>
      <c r="K132" s="150">
        <f>5000+5000+5000</f>
        <v>15000</v>
      </c>
      <c r="L132" s="150">
        <v>0</v>
      </c>
      <c r="M132" s="150">
        <f>5000+30000</f>
        <v>35000</v>
      </c>
      <c r="N132" s="150">
        <f>5000+5000-5000</f>
        <v>5000</v>
      </c>
      <c r="O132" s="150">
        <v>0</v>
      </c>
      <c r="P132" s="150">
        <v>0</v>
      </c>
      <c r="Q132" s="150">
        <v>0</v>
      </c>
      <c r="R132" s="151">
        <f>SUM(B132:Q132)</f>
        <v>520400</v>
      </c>
    </row>
    <row r="133" spans="1:18" s="148" customFormat="1" ht="21" customHeight="1">
      <c r="A133" s="158">
        <v>610400</v>
      </c>
      <c r="B133" s="150">
        <v>0</v>
      </c>
      <c r="C133" s="150">
        <v>0</v>
      </c>
      <c r="D133" s="150">
        <v>0</v>
      </c>
      <c r="E133" s="150">
        <v>0</v>
      </c>
      <c r="F133" s="150">
        <v>0</v>
      </c>
      <c r="G133" s="150">
        <v>80000</v>
      </c>
      <c r="H133" s="150">
        <v>0</v>
      </c>
      <c r="I133" s="150">
        <v>0</v>
      </c>
      <c r="J133" s="150">
        <v>0</v>
      </c>
      <c r="K133" s="150">
        <v>0</v>
      </c>
      <c r="L133" s="150">
        <v>0</v>
      </c>
      <c r="M133" s="150">
        <v>0</v>
      </c>
      <c r="N133" s="150">
        <v>0</v>
      </c>
      <c r="O133" s="150">
        <v>0</v>
      </c>
      <c r="P133" s="150">
        <v>0</v>
      </c>
      <c r="Q133" s="150">
        <v>0</v>
      </c>
      <c r="R133" s="151">
        <f>SUM(B133:Q133)</f>
        <v>80000</v>
      </c>
    </row>
    <row r="134" spans="1:18" s="148" customFormat="1" ht="21" customHeight="1">
      <c r="A134" s="152" t="s">
        <v>18</v>
      </c>
      <c r="B134" s="156">
        <f aca="true" t="shared" si="17" ref="B134:Q134">SUM(B132:B133)</f>
        <v>0</v>
      </c>
      <c r="C134" s="156">
        <f t="shared" si="17"/>
        <v>0</v>
      </c>
      <c r="D134" s="156">
        <f t="shared" si="17"/>
        <v>0</v>
      </c>
      <c r="E134" s="156">
        <f t="shared" si="17"/>
        <v>0</v>
      </c>
      <c r="F134" s="156">
        <f t="shared" si="17"/>
        <v>465400</v>
      </c>
      <c r="G134" s="156">
        <f t="shared" si="17"/>
        <v>80000</v>
      </c>
      <c r="H134" s="156">
        <f t="shared" si="17"/>
        <v>0</v>
      </c>
      <c r="I134" s="156">
        <f t="shared" si="17"/>
        <v>0</v>
      </c>
      <c r="J134" s="156">
        <f t="shared" si="17"/>
        <v>0</v>
      </c>
      <c r="K134" s="156">
        <f t="shared" si="17"/>
        <v>15000</v>
      </c>
      <c r="L134" s="156">
        <f t="shared" si="17"/>
        <v>0</v>
      </c>
      <c r="M134" s="156">
        <f t="shared" si="17"/>
        <v>35000</v>
      </c>
      <c r="N134" s="156">
        <f t="shared" si="17"/>
        <v>5000</v>
      </c>
      <c r="O134" s="156">
        <f t="shared" si="17"/>
        <v>0</v>
      </c>
      <c r="P134" s="156">
        <f t="shared" si="17"/>
        <v>0</v>
      </c>
      <c r="Q134" s="156">
        <f t="shared" si="17"/>
        <v>0</v>
      </c>
      <c r="R134" s="151">
        <f>SUM(B134:Q134)</f>
        <v>600400</v>
      </c>
    </row>
    <row r="135" spans="1:18" s="437" customFormat="1" ht="21" customHeight="1">
      <c r="A135" s="152" t="s">
        <v>70</v>
      </c>
      <c r="B135" s="156">
        <f aca="true" t="shared" si="18" ref="B135:Q135">B14+B21+B29+B49+B56+B91+B97+B123+B127+B130+B134</f>
        <v>2032463.3</v>
      </c>
      <c r="C135" s="156">
        <f t="shared" si="18"/>
        <v>833700.13</v>
      </c>
      <c r="D135" s="156">
        <f t="shared" si="18"/>
        <v>53513</v>
      </c>
      <c r="E135" s="156">
        <f t="shared" si="18"/>
        <v>18000</v>
      </c>
      <c r="F135" s="156">
        <f t="shared" si="18"/>
        <v>1190566</v>
      </c>
      <c r="G135" s="156">
        <f t="shared" si="18"/>
        <v>127800</v>
      </c>
      <c r="H135" s="156">
        <f t="shared" si="18"/>
        <v>5000</v>
      </c>
      <c r="I135" s="156">
        <f t="shared" si="18"/>
        <v>2231800</v>
      </c>
      <c r="J135" s="156">
        <f t="shared" si="18"/>
        <v>52705</v>
      </c>
      <c r="K135" s="156">
        <f t="shared" si="18"/>
        <v>28525</v>
      </c>
      <c r="L135" s="156">
        <f t="shared" si="18"/>
        <v>7200</v>
      </c>
      <c r="M135" s="156">
        <f t="shared" si="18"/>
        <v>115000</v>
      </c>
      <c r="N135" s="156">
        <f t="shared" si="18"/>
        <v>5000</v>
      </c>
      <c r="O135" s="156">
        <f t="shared" si="18"/>
        <v>61500</v>
      </c>
      <c r="P135" s="156">
        <f t="shared" si="18"/>
        <v>175440.37</v>
      </c>
      <c r="Q135" s="156">
        <f t="shared" si="18"/>
        <v>1054351.63</v>
      </c>
      <c r="R135" s="151">
        <f>SUM(B135:Q135)</f>
        <v>7992564.43</v>
      </c>
    </row>
    <row r="136" spans="1:18" s="441" customFormat="1" ht="21" customHeight="1">
      <c r="A136" s="440"/>
      <c r="B136" s="170"/>
      <c r="C136" s="165"/>
      <c r="D136" s="165"/>
      <c r="E136" s="165"/>
      <c r="F136" s="165"/>
      <c r="G136" s="165"/>
      <c r="H136" s="170"/>
      <c r="I136" s="170"/>
      <c r="J136" s="165"/>
      <c r="K136" s="165"/>
      <c r="L136" s="165"/>
      <c r="M136" s="165"/>
      <c r="N136" s="170"/>
      <c r="O136" s="170"/>
      <c r="P136" s="170"/>
      <c r="Q136" s="170"/>
      <c r="R136" s="439"/>
    </row>
    <row r="137" spans="1:18" s="148" customFormat="1" ht="21" customHeight="1">
      <c r="A137" s="163"/>
      <c r="B137" s="165"/>
      <c r="C137" s="548" t="s">
        <v>7</v>
      </c>
      <c r="D137" s="548"/>
      <c r="E137" s="167"/>
      <c r="F137" s="167"/>
      <c r="G137" s="167"/>
      <c r="H137" s="165"/>
      <c r="I137" s="165"/>
      <c r="J137" s="538" t="s">
        <v>98</v>
      </c>
      <c r="K137" s="538"/>
      <c r="L137" s="538"/>
      <c r="M137" s="538"/>
      <c r="N137" s="165"/>
      <c r="O137" s="165"/>
      <c r="P137" s="165"/>
      <c r="Q137" s="165"/>
      <c r="R137" s="165"/>
    </row>
    <row r="138" spans="1:18" s="148" customFormat="1" ht="21" customHeight="1">
      <c r="A138" s="163"/>
      <c r="B138" s="165"/>
      <c r="C138" s="167"/>
      <c r="D138" s="167"/>
      <c r="E138" s="167"/>
      <c r="F138" s="167"/>
      <c r="G138" s="167"/>
      <c r="H138" s="165"/>
      <c r="I138" s="165"/>
      <c r="J138" s="85"/>
      <c r="K138" s="85"/>
      <c r="L138" s="85"/>
      <c r="M138" s="85"/>
      <c r="N138" s="165"/>
      <c r="O138" s="165"/>
      <c r="P138" s="165"/>
      <c r="Q138" s="165"/>
      <c r="R138" s="165"/>
    </row>
    <row r="139" spans="1:18" s="148" customFormat="1" ht="21">
      <c r="A139" s="163"/>
      <c r="B139" s="165"/>
      <c r="C139" s="167"/>
      <c r="D139" s="167"/>
      <c r="E139" s="167"/>
      <c r="F139" s="167"/>
      <c r="G139" s="167"/>
      <c r="H139" s="165"/>
      <c r="I139" s="165"/>
      <c r="J139" s="85"/>
      <c r="K139" s="85"/>
      <c r="L139" s="85"/>
      <c r="M139" s="85"/>
      <c r="N139" s="165"/>
      <c r="O139" s="165"/>
      <c r="P139" s="165"/>
      <c r="Q139" s="165"/>
      <c r="R139" s="165"/>
    </row>
    <row r="140" spans="1:18" s="148" customFormat="1" ht="21" customHeight="1">
      <c r="A140" s="163"/>
      <c r="B140" s="165"/>
      <c r="C140" s="548" t="s">
        <v>117</v>
      </c>
      <c r="D140" s="548"/>
      <c r="E140" s="167"/>
      <c r="F140" s="167"/>
      <c r="G140" s="167"/>
      <c r="H140" s="165"/>
      <c r="I140" s="165"/>
      <c r="J140" s="538" t="s">
        <v>300</v>
      </c>
      <c r="K140" s="538"/>
      <c r="L140" s="538"/>
      <c r="M140" s="538"/>
      <c r="N140" s="165"/>
      <c r="O140" s="165"/>
      <c r="P140" s="165"/>
      <c r="Q140" s="165"/>
      <c r="R140" s="165"/>
    </row>
    <row r="141" spans="1:18" s="171" customFormat="1" ht="21" customHeight="1">
      <c r="A141" s="166"/>
      <c r="B141" s="165"/>
      <c r="C141" s="548" t="s">
        <v>329</v>
      </c>
      <c r="D141" s="548"/>
      <c r="E141" s="167"/>
      <c r="F141" s="167"/>
      <c r="G141" s="167"/>
      <c r="H141" s="165"/>
      <c r="I141" s="165"/>
      <c r="J141" s="538" t="s">
        <v>97</v>
      </c>
      <c r="K141" s="538"/>
      <c r="L141" s="538"/>
      <c r="M141" s="538"/>
      <c r="N141" s="165"/>
      <c r="O141" s="165"/>
      <c r="P141" s="165"/>
      <c r="Q141" s="165"/>
      <c r="R141" s="165"/>
    </row>
    <row r="142" spans="10:13" ht="21.75">
      <c r="J142" s="538"/>
      <c r="K142" s="538"/>
      <c r="L142" s="538"/>
      <c r="M142" s="538"/>
    </row>
  </sheetData>
  <mergeCells count="50">
    <mergeCell ref="B112:C112"/>
    <mergeCell ref="I112:J112"/>
    <mergeCell ref="J137:M137"/>
    <mergeCell ref="J142:M142"/>
    <mergeCell ref="C141:D141"/>
    <mergeCell ref="C137:D137"/>
    <mergeCell ref="C140:D140"/>
    <mergeCell ref="J140:M140"/>
    <mergeCell ref="J141:M141"/>
    <mergeCell ref="C103:D103"/>
    <mergeCell ref="A1:R1"/>
    <mergeCell ref="A2:R2"/>
    <mergeCell ref="A3:R3"/>
    <mergeCell ref="I4:J4"/>
    <mergeCell ref="B4:C4"/>
    <mergeCell ref="J31:M31"/>
    <mergeCell ref="J58:M58"/>
    <mergeCell ref="J61:M61"/>
    <mergeCell ref="J35:M35"/>
    <mergeCell ref="B38:C38"/>
    <mergeCell ref="C31:D31"/>
    <mergeCell ref="A37:R37"/>
    <mergeCell ref="C34:D34"/>
    <mergeCell ref="C33:D33"/>
    <mergeCell ref="J34:M34"/>
    <mergeCell ref="J33:M33"/>
    <mergeCell ref="C58:D58"/>
    <mergeCell ref="C61:D61"/>
    <mergeCell ref="C62:D62"/>
    <mergeCell ref="C99:D99"/>
    <mergeCell ref="C102:D102"/>
    <mergeCell ref="A74:R74"/>
    <mergeCell ref="B75:C75"/>
    <mergeCell ref="I75:J75"/>
    <mergeCell ref="J102:M102"/>
    <mergeCell ref="J99:M99"/>
    <mergeCell ref="L4:N4"/>
    <mergeCell ref="L112:N112"/>
    <mergeCell ref="L75:N75"/>
    <mergeCell ref="L38:N38"/>
    <mergeCell ref="J62:M62"/>
    <mergeCell ref="J103:M103"/>
    <mergeCell ref="I38:J38"/>
    <mergeCell ref="J63:M63"/>
    <mergeCell ref="J104:M104"/>
    <mergeCell ref="A111:R111"/>
    <mergeCell ref="E4:F4"/>
    <mergeCell ref="E38:F38"/>
    <mergeCell ref="E75:F75"/>
    <mergeCell ref="E112:F112"/>
  </mergeCells>
  <printOptions horizontalCentered="1"/>
  <pageMargins left="0" right="0" top="0.143700787" bottom="0" header="0.011811024" footer="0.011811024"/>
  <pageSetup horizontalDpi="180" verticalDpi="180" orientation="landscape" paperSize="9" scale="78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2"/>
  <sheetViews>
    <sheetView zoomScale="85" zoomScaleNormal="85" zoomScaleSheetLayoutView="100" workbookViewId="0" topLeftCell="C46">
      <selection activeCell="G23" sqref="G23"/>
    </sheetView>
  </sheetViews>
  <sheetFormatPr defaultColWidth="9.140625" defaultRowHeight="21.75"/>
  <cols>
    <col min="1" max="1" width="19.00390625" style="0" customWidth="1"/>
    <col min="2" max="2" width="6.140625" style="0" bestFit="1" customWidth="1"/>
    <col min="3" max="3" width="11.57421875" style="0" bestFit="1" customWidth="1"/>
    <col min="4" max="6" width="6.140625" style="0" bestFit="1" customWidth="1"/>
    <col min="7" max="7" width="9.421875" style="0" bestFit="1" customWidth="1"/>
    <col min="8" max="8" width="8.421875" style="0" customWidth="1"/>
    <col min="9" max="10" width="10.57421875" style="0" bestFit="1" customWidth="1"/>
    <col min="11" max="11" width="11.57421875" style="0" bestFit="1" customWidth="1"/>
    <col min="12" max="13" width="10.421875" style="0" bestFit="1" customWidth="1"/>
    <col min="14" max="14" width="10.57421875" style="0" bestFit="1" customWidth="1"/>
    <col min="15" max="15" width="11.57421875" style="0" bestFit="1" customWidth="1"/>
    <col min="16" max="16" width="8.421875" style="0" customWidth="1"/>
    <col min="17" max="17" width="13.00390625" style="0" bestFit="1" customWidth="1"/>
  </cols>
  <sheetData>
    <row r="1" spans="1:17" s="91" customFormat="1" ht="23.25">
      <c r="A1" s="507" t="s">
        <v>13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</row>
    <row r="2" spans="1:17" s="91" customFormat="1" ht="23.25">
      <c r="A2" s="507" t="s">
        <v>103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</row>
    <row r="3" spans="1:17" s="91" customFormat="1" ht="24" thickBot="1">
      <c r="A3" s="558" t="s">
        <v>254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</row>
    <row r="4" spans="1:17" s="276" customFormat="1" ht="21">
      <c r="A4" s="271" t="s">
        <v>15</v>
      </c>
      <c r="B4" s="272" t="s">
        <v>77</v>
      </c>
      <c r="C4" s="555" t="s">
        <v>79</v>
      </c>
      <c r="D4" s="556"/>
      <c r="E4" s="555" t="s">
        <v>82</v>
      </c>
      <c r="F4" s="556"/>
      <c r="G4" s="555" t="s">
        <v>83</v>
      </c>
      <c r="H4" s="556"/>
      <c r="I4" s="555" t="s">
        <v>84</v>
      </c>
      <c r="J4" s="557"/>
      <c r="K4" s="555" t="s">
        <v>88</v>
      </c>
      <c r="L4" s="556"/>
      <c r="M4" s="272" t="s">
        <v>89</v>
      </c>
      <c r="N4" s="273" t="s">
        <v>92</v>
      </c>
      <c r="O4" s="274" t="s">
        <v>93</v>
      </c>
      <c r="P4" s="274" t="s">
        <v>96</v>
      </c>
      <c r="Q4" s="275" t="s">
        <v>16</v>
      </c>
    </row>
    <row r="5" spans="1:17" s="276" customFormat="1" ht="21.75" thickBot="1">
      <c r="A5" s="277" t="s">
        <v>17</v>
      </c>
      <c r="B5" s="278" t="s">
        <v>78</v>
      </c>
      <c r="C5" s="279" t="s">
        <v>80</v>
      </c>
      <c r="D5" s="280" t="s">
        <v>81</v>
      </c>
      <c r="E5" s="278" t="s">
        <v>73</v>
      </c>
      <c r="F5" s="278" t="s">
        <v>74</v>
      </c>
      <c r="G5" s="278" t="s">
        <v>75</v>
      </c>
      <c r="H5" s="278" t="s">
        <v>76</v>
      </c>
      <c r="I5" s="280" t="s">
        <v>85</v>
      </c>
      <c r="J5" s="281" t="s">
        <v>86</v>
      </c>
      <c r="K5" s="279" t="s">
        <v>87</v>
      </c>
      <c r="L5" s="279" t="s">
        <v>106</v>
      </c>
      <c r="M5" s="279" t="s">
        <v>90</v>
      </c>
      <c r="N5" s="282" t="s">
        <v>91</v>
      </c>
      <c r="O5" s="283" t="s">
        <v>94</v>
      </c>
      <c r="P5" s="283" t="s">
        <v>95</v>
      </c>
      <c r="Q5" s="284"/>
    </row>
    <row r="6" spans="1:17" s="91" customFormat="1" ht="18.75" customHeight="1">
      <c r="A6" s="285" t="s">
        <v>226</v>
      </c>
      <c r="B6" s="286"/>
      <c r="C6" s="286"/>
      <c r="D6" s="287"/>
      <c r="E6" s="286"/>
      <c r="F6" s="286"/>
      <c r="G6" s="286"/>
      <c r="H6" s="286"/>
      <c r="I6" s="286"/>
      <c r="J6" s="288"/>
      <c r="K6" s="287"/>
      <c r="L6" s="287"/>
      <c r="M6" s="287"/>
      <c r="N6" s="288"/>
      <c r="O6" s="288"/>
      <c r="P6" s="288"/>
      <c r="Q6" s="288"/>
    </row>
    <row r="7" spans="1:17" s="91" customFormat="1" ht="21">
      <c r="A7" s="289" t="s">
        <v>204</v>
      </c>
      <c r="B7" s="290">
        <v>0</v>
      </c>
      <c r="C7" s="291">
        <v>0</v>
      </c>
      <c r="D7" s="292">
        <v>0</v>
      </c>
      <c r="E7" s="291">
        <v>0</v>
      </c>
      <c r="F7" s="291">
        <v>0</v>
      </c>
      <c r="G7" s="291">
        <v>0</v>
      </c>
      <c r="H7" s="291">
        <v>0</v>
      </c>
      <c r="I7" s="291">
        <v>0</v>
      </c>
      <c r="J7" s="291">
        <v>0</v>
      </c>
      <c r="K7" s="291">
        <v>0</v>
      </c>
      <c r="L7" s="291">
        <v>0</v>
      </c>
      <c r="M7" s="291">
        <v>0</v>
      </c>
      <c r="N7" s="291">
        <v>0</v>
      </c>
      <c r="O7" s="291">
        <v>0</v>
      </c>
      <c r="P7" s="291">
        <v>0</v>
      </c>
      <c r="Q7" s="291">
        <f>SUM(B7:P7)</f>
        <v>0</v>
      </c>
    </row>
    <row r="8" spans="1:17" s="91" customFormat="1" ht="21">
      <c r="A8" s="236" t="s">
        <v>18</v>
      </c>
      <c r="B8" s="290">
        <f aca="true" t="shared" si="0" ref="B8:P8">SUM(B7:B7)</f>
        <v>0</v>
      </c>
      <c r="C8" s="290">
        <f t="shared" si="0"/>
        <v>0</v>
      </c>
      <c r="D8" s="290">
        <f t="shared" si="0"/>
        <v>0</v>
      </c>
      <c r="E8" s="290">
        <f t="shared" si="0"/>
        <v>0</v>
      </c>
      <c r="F8" s="290">
        <f t="shared" si="0"/>
        <v>0</v>
      </c>
      <c r="G8" s="290">
        <f t="shared" si="0"/>
        <v>0</v>
      </c>
      <c r="H8" s="290">
        <f t="shared" si="0"/>
        <v>0</v>
      </c>
      <c r="I8" s="290">
        <f t="shared" si="0"/>
        <v>0</v>
      </c>
      <c r="J8" s="290">
        <f t="shared" si="0"/>
        <v>0</v>
      </c>
      <c r="K8" s="290">
        <f t="shared" si="0"/>
        <v>0</v>
      </c>
      <c r="L8" s="290">
        <f t="shared" si="0"/>
        <v>0</v>
      </c>
      <c r="M8" s="290">
        <f t="shared" si="0"/>
        <v>0</v>
      </c>
      <c r="N8" s="290">
        <f t="shared" si="0"/>
        <v>0</v>
      </c>
      <c r="O8" s="290">
        <f t="shared" si="0"/>
        <v>0</v>
      </c>
      <c r="P8" s="290">
        <f t="shared" si="0"/>
        <v>0</v>
      </c>
      <c r="Q8" s="291">
        <f>SUM(B8:P8)</f>
        <v>0</v>
      </c>
    </row>
    <row r="9" spans="1:17" s="296" customFormat="1" ht="21">
      <c r="A9" s="293" t="s">
        <v>19</v>
      </c>
      <c r="B9" s="294">
        <v>0</v>
      </c>
      <c r="C9" s="294">
        <f>0</f>
        <v>0</v>
      </c>
      <c r="D9" s="294">
        <f>0</f>
        <v>0</v>
      </c>
      <c r="E9" s="294">
        <f>0</f>
        <v>0</v>
      </c>
      <c r="F9" s="294">
        <f>0</f>
        <v>0</v>
      </c>
      <c r="G9" s="294">
        <f>0</f>
        <v>0</v>
      </c>
      <c r="H9" s="294">
        <f>0</f>
        <v>0</v>
      </c>
      <c r="I9" s="294">
        <f>0</f>
        <v>0</v>
      </c>
      <c r="J9" s="294">
        <f>0</f>
        <v>0</v>
      </c>
      <c r="K9" s="294">
        <f>0</f>
        <v>0</v>
      </c>
      <c r="L9" s="294">
        <f>0</f>
        <v>0</v>
      </c>
      <c r="M9" s="294">
        <f>0</f>
        <v>0</v>
      </c>
      <c r="N9" s="294">
        <f>0</f>
        <v>0</v>
      </c>
      <c r="O9" s="294">
        <f>0</f>
        <v>0</v>
      </c>
      <c r="P9" s="294">
        <f>0</f>
        <v>0</v>
      </c>
      <c r="Q9" s="295">
        <f>SUM(B9:P9)</f>
        <v>0</v>
      </c>
    </row>
    <row r="10" spans="1:17" s="91" customFormat="1" ht="20.25" customHeight="1">
      <c r="A10" s="297" t="s">
        <v>227</v>
      </c>
      <c r="B10" s="290"/>
      <c r="C10" s="291"/>
      <c r="D10" s="292"/>
      <c r="E10" s="291"/>
      <c r="F10" s="291"/>
      <c r="G10" s="291"/>
      <c r="H10" s="291"/>
      <c r="I10" s="291"/>
      <c r="J10" s="291"/>
      <c r="K10" s="292"/>
      <c r="L10" s="292"/>
      <c r="M10" s="292"/>
      <c r="N10" s="291"/>
      <c r="O10" s="291"/>
      <c r="P10" s="291"/>
      <c r="Q10" s="291"/>
    </row>
    <row r="11" spans="1:17" s="91" customFormat="1" ht="21">
      <c r="A11" s="236">
        <v>210100</v>
      </c>
      <c r="B11" s="290">
        <v>0</v>
      </c>
      <c r="C11" s="290">
        <v>0</v>
      </c>
      <c r="D11" s="290">
        <v>0</v>
      </c>
      <c r="E11" s="290">
        <v>0</v>
      </c>
      <c r="F11" s="290">
        <v>0</v>
      </c>
      <c r="G11" s="290">
        <v>0</v>
      </c>
      <c r="H11" s="290">
        <v>0</v>
      </c>
      <c r="I11" s="290">
        <v>0</v>
      </c>
      <c r="J11" s="290">
        <v>0</v>
      </c>
      <c r="K11" s="290">
        <v>0</v>
      </c>
      <c r="L11" s="290">
        <v>0</v>
      </c>
      <c r="M11" s="290">
        <v>0</v>
      </c>
      <c r="N11" s="290">
        <v>0</v>
      </c>
      <c r="O11" s="290">
        <v>0</v>
      </c>
      <c r="P11" s="290">
        <v>0</v>
      </c>
      <c r="Q11" s="291">
        <f>SUM(B11:P11)</f>
        <v>0</v>
      </c>
    </row>
    <row r="12" spans="1:17" s="91" customFormat="1" ht="21">
      <c r="A12" s="236" t="s">
        <v>18</v>
      </c>
      <c r="B12" s="290">
        <f aca="true" t="shared" si="1" ref="B12:P12">SUM(B11:B11)</f>
        <v>0</v>
      </c>
      <c r="C12" s="290">
        <f t="shared" si="1"/>
        <v>0</v>
      </c>
      <c r="D12" s="290">
        <f t="shared" si="1"/>
        <v>0</v>
      </c>
      <c r="E12" s="290">
        <f t="shared" si="1"/>
        <v>0</v>
      </c>
      <c r="F12" s="290">
        <f t="shared" si="1"/>
        <v>0</v>
      </c>
      <c r="G12" s="290">
        <f t="shared" si="1"/>
        <v>0</v>
      </c>
      <c r="H12" s="290">
        <f t="shared" si="1"/>
        <v>0</v>
      </c>
      <c r="I12" s="290">
        <f t="shared" si="1"/>
        <v>0</v>
      </c>
      <c r="J12" s="290">
        <f t="shared" si="1"/>
        <v>0</v>
      </c>
      <c r="K12" s="290">
        <f t="shared" si="1"/>
        <v>0</v>
      </c>
      <c r="L12" s="290">
        <f t="shared" si="1"/>
        <v>0</v>
      </c>
      <c r="M12" s="290">
        <f t="shared" si="1"/>
        <v>0</v>
      </c>
      <c r="N12" s="290">
        <f t="shared" si="1"/>
        <v>0</v>
      </c>
      <c r="O12" s="290">
        <f t="shared" si="1"/>
        <v>0</v>
      </c>
      <c r="P12" s="290">
        <f t="shared" si="1"/>
        <v>0</v>
      </c>
      <c r="Q12" s="291">
        <f>SUM(B12:P12)</f>
        <v>0</v>
      </c>
    </row>
    <row r="13" spans="1:17" s="296" customFormat="1" ht="21">
      <c r="A13" s="293" t="s">
        <v>19</v>
      </c>
      <c r="B13" s="294">
        <f>0</f>
        <v>0</v>
      </c>
      <c r="C13" s="294">
        <v>0</v>
      </c>
      <c r="D13" s="294">
        <v>0</v>
      </c>
      <c r="E13" s="294">
        <f>0</f>
        <v>0</v>
      </c>
      <c r="F13" s="294">
        <f>0</f>
        <v>0</v>
      </c>
      <c r="G13" s="294">
        <v>0</v>
      </c>
      <c r="H13" s="294">
        <f>0</f>
        <v>0</v>
      </c>
      <c r="I13" s="294">
        <f>0</f>
        <v>0</v>
      </c>
      <c r="J13" s="294">
        <f>0</f>
        <v>0</v>
      </c>
      <c r="K13" s="294">
        <f>0</f>
        <v>0</v>
      </c>
      <c r="L13" s="294">
        <f>0</f>
        <v>0</v>
      </c>
      <c r="M13" s="294">
        <f>0</f>
        <v>0</v>
      </c>
      <c r="N13" s="294">
        <f>0</f>
        <v>0</v>
      </c>
      <c r="O13" s="294">
        <f>0</f>
        <v>0</v>
      </c>
      <c r="P13" s="294">
        <f>0</f>
        <v>0</v>
      </c>
      <c r="Q13" s="295">
        <f>SUM(B13:P13)</f>
        <v>0</v>
      </c>
    </row>
    <row r="14" spans="1:17" s="91" customFormat="1" ht="20.25" customHeight="1">
      <c r="A14" s="297" t="s">
        <v>228</v>
      </c>
      <c r="B14" s="290"/>
      <c r="C14" s="290"/>
      <c r="D14" s="298"/>
      <c r="E14" s="291"/>
      <c r="F14" s="291"/>
      <c r="G14" s="291"/>
      <c r="H14" s="290"/>
      <c r="I14" s="291"/>
      <c r="J14" s="291"/>
      <c r="K14" s="292"/>
      <c r="L14" s="292"/>
      <c r="M14" s="292"/>
      <c r="N14" s="291"/>
      <c r="O14" s="291"/>
      <c r="P14" s="291"/>
      <c r="Q14" s="291"/>
    </row>
    <row r="15" spans="1:17" s="91" customFormat="1" ht="21">
      <c r="A15" s="236">
        <v>220100</v>
      </c>
      <c r="B15" s="290">
        <v>0</v>
      </c>
      <c r="C15" s="290">
        <v>0</v>
      </c>
      <c r="D15" s="290">
        <v>0</v>
      </c>
      <c r="E15" s="290">
        <v>0</v>
      </c>
      <c r="F15" s="290">
        <v>0</v>
      </c>
      <c r="G15" s="290">
        <v>0</v>
      </c>
      <c r="H15" s="290">
        <v>0</v>
      </c>
      <c r="I15" s="290">
        <v>0</v>
      </c>
      <c r="J15" s="290">
        <v>0</v>
      </c>
      <c r="K15" s="290">
        <v>0</v>
      </c>
      <c r="L15" s="290">
        <v>0</v>
      </c>
      <c r="M15" s="290">
        <v>0</v>
      </c>
      <c r="N15" s="290">
        <v>0</v>
      </c>
      <c r="O15" s="290">
        <v>0</v>
      </c>
      <c r="P15" s="290">
        <v>0</v>
      </c>
      <c r="Q15" s="291">
        <f>SUM(B15:P15)</f>
        <v>0</v>
      </c>
    </row>
    <row r="16" spans="1:17" s="91" customFormat="1" ht="21">
      <c r="A16" s="236" t="s">
        <v>18</v>
      </c>
      <c r="B16" s="290">
        <f aca="true" t="shared" si="2" ref="B16:P16">B15</f>
        <v>0</v>
      </c>
      <c r="C16" s="290">
        <f t="shared" si="2"/>
        <v>0</v>
      </c>
      <c r="D16" s="290">
        <f t="shared" si="2"/>
        <v>0</v>
      </c>
      <c r="E16" s="290">
        <f t="shared" si="2"/>
        <v>0</v>
      </c>
      <c r="F16" s="290">
        <f t="shared" si="2"/>
        <v>0</v>
      </c>
      <c r="G16" s="290">
        <f t="shared" si="2"/>
        <v>0</v>
      </c>
      <c r="H16" s="290">
        <f t="shared" si="2"/>
        <v>0</v>
      </c>
      <c r="I16" s="290">
        <f t="shared" si="2"/>
        <v>0</v>
      </c>
      <c r="J16" s="290">
        <f t="shared" si="2"/>
        <v>0</v>
      </c>
      <c r="K16" s="290">
        <f t="shared" si="2"/>
        <v>0</v>
      </c>
      <c r="L16" s="290">
        <f t="shared" si="2"/>
        <v>0</v>
      </c>
      <c r="M16" s="290">
        <f t="shared" si="2"/>
        <v>0</v>
      </c>
      <c r="N16" s="290">
        <f t="shared" si="2"/>
        <v>0</v>
      </c>
      <c r="O16" s="290">
        <f t="shared" si="2"/>
        <v>0</v>
      </c>
      <c r="P16" s="290">
        <f t="shared" si="2"/>
        <v>0</v>
      </c>
      <c r="Q16" s="291">
        <f>SUM(B16:P16)</f>
        <v>0</v>
      </c>
    </row>
    <row r="17" spans="1:17" s="296" customFormat="1" ht="21">
      <c r="A17" s="293" t="s">
        <v>19</v>
      </c>
      <c r="B17" s="294">
        <f>0</f>
        <v>0</v>
      </c>
      <c r="C17" s="294">
        <v>0</v>
      </c>
      <c r="D17" s="294">
        <v>0</v>
      </c>
      <c r="E17" s="294">
        <f>0</f>
        <v>0</v>
      </c>
      <c r="F17" s="294">
        <f>0</f>
        <v>0</v>
      </c>
      <c r="G17" s="294">
        <f>0</f>
        <v>0</v>
      </c>
      <c r="H17" s="294">
        <f>0</f>
        <v>0</v>
      </c>
      <c r="I17" s="294">
        <f>0</f>
        <v>0</v>
      </c>
      <c r="J17" s="299">
        <f>0</f>
        <v>0</v>
      </c>
      <c r="K17" s="294">
        <f>0</f>
        <v>0</v>
      </c>
      <c r="L17" s="294">
        <f>0</f>
        <v>0</v>
      </c>
      <c r="M17" s="294">
        <f>0</f>
        <v>0</v>
      </c>
      <c r="N17" s="294">
        <f>0</f>
        <v>0</v>
      </c>
      <c r="O17" s="294">
        <f>0</f>
        <v>0</v>
      </c>
      <c r="P17" s="294">
        <f>0</f>
        <v>0</v>
      </c>
      <c r="Q17" s="295">
        <f>SUM(B17:P17)</f>
        <v>0</v>
      </c>
    </row>
    <row r="18" spans="1:17" s="91" customFormat="1" ht="20.25" customHeight="1">
      <c r="A18" s="193" t="s">
        <v>229</v>
      </c>
      <c r="B18" s="300"/>
      <c r="C18" s="300"/>
      <c r="D18" s="301"/>
      <c r="E18" s="286"/>
      <c r="F18" s="286"/>
      <c r="G18" s="286"/>
      <c r="H18" s="300"/>
      <c r="I18" s="286"/>
      <c r="J18" s="291"/>
      <c r="K18" s="287"/>
      <c r="L18" s="287"/>
      <c r="M18" s="287"/>
      <c r="N18" s="286"/>
      <c r="O18" s="291"/>
      <c r="P18" s="291"/>
      <c r="Q18" s="291"/>
    </row>
    <row r="19" spans="1:17" s="91" customFormat="1" ht="21">
      <c r="A19" s="236">
        <v>310300</v>
      </c>
      <c r="B19" s="290">
        <v>0</v>
      </c>
      <c r="C19" s="290">
        <v>0</v>
      </c>
      <c r="D19" s="290">
        <v>0</v>
      </c>
      <c r="E19" s="290">
        <v>0</v>
      </c>
      <c r="F19" s="290">
        <v>0</v>
      </c>
      <c r="G19" s="290">
        <v>0</v>
      </c>
      <c r="H19" s="290">
        <v>0</v>
      </c>
      <c r="I19" s="290">
        <v>0</v>
      </c>
      <c r="J19" s="290">
        <v>0</v>
      </c>
      <c r="K19" s="290">
        <v>0</v>
      </c>
      <c r="L19" s="290">
        <v>0</v>
      </c>
      <c r="M19" s="290">
        <v>0</v>
      </c>
      <c r="N19" s="290">
        <v>0</v>
      </c>
      <c r="O19" s="290">
        <v>0</v>
      </c>
      <c r="P19" s="290">
        <v>0</v>
      </c>
      <c r="Q19" s="291">
        <f>SUM(B19:P19)</f>
        <v>0</v>
      </c>
    </row>
    <row r="20" spans="1:17" s="91" customFormat="1" ht="21">
      <c r="A20" s="236" t="s">
        <v>18</v>
      </c>
      <c r="B20" s="290">
        <f aca="true" t="shared" si="3" ref="B20:P20">SUM(B19:B19)</f>
        <v>0</v>
      </c>
      <c r="C20" s="290">
        <f t="shared" si="3"/>
        <v>0</v>
      </c>
      <c r="D20" s="290">
        <f t="shared" si="3"/>
        <v>0</v>
      </c>
      <c r="E20" s="290">
        <f t="shared" si="3"/>
        <v>0</v>
      </c>
      <c r="F20" s="290">
        <f t="shared" si="3"/>
        <v>0</v>
      </c>
      <c r="G20" s="290">
        <f t="shared" si="3"/>
        <v>0</v>
      </c>
      <c r="H20" s="290">
        <f t="shared" si="3"/>
        <v>0</v>
      </c>
      <c r="I20" s="290">
        <f t="shared" si="3"/>
        <v>0</v>
      </c>
      <c r="J20" s="290">
        <f t="shared" si="3"/>
        <v>0</v>
      </c>
      <c r="K20" s="290">
        <f t="shared" si="3"/>
        <v>0</v>
      </c>
      <c r="L20" s="290">
        <f t="shared" si="3"/>
        <v>0</v>
      </c>
      <c r="M20" s="290">
        <f t="shared" si="3"/>
        <v>0</v>
      </c>
      <c r="N20" s="290">
        <f t="shared" si="3"/>
        <v>0</v>
      </c>
      <c r="O20" s="290">
        <f t="shared" si="3"/>
        <v>0</v>
      </c>
      <c r="P20" s="290">
        <f t="shared" si="3"/>
        <v>0</v>
      </c>
      <c r="Q20" s="291">
        <f>SUM(B20:P20)</f>
        <v>0</v>
      </c>
    </row>
    <row r="21" spans="1:17" s="296" customFormat="1" ht="21">
      <c r="A21" s="293" t="s">
        <v>19</v>
      </c>
      <c r="B21" s="294">
        <f>0</f>
        <v>0</v>
      </c>
      <c r="C21" s="294">
        <v>0</v>
      </c>
      <c r="D21" s="294">
        <v>0</v>
      </c>
      <c r="E21" s="294">
        <f>0</f>
        <v>0</v>
      </c>
      <c r="F21" s="294">
        <f>0</f>
        <v>0</v>
      </c>
      <c r="G21" s="294">
        <v>0</v>
      </c>
      <c r="H21" s="294">
        <f>0</f>
        <v>0</v>
      </c>
      <c r="I21" s="294">
        <f>0</f>
        <v>0</v>
      </c>
      <c r="J21" s="294">
        <f>0</f>
        <v>0</v>
      </c>
      <c r="K21" s="294">
        <f>0</f>
        <v>0</v>
      </c>
      <c r="L21" s="294">
        <v>0</v>
      </c>
      <c r="M21" s="294">
        <f>0</f>
        <v>0</v>
      </c>
      <c r="N21" s="294">
        <f>0</f>
        <v>0</v>
      </c>
      <c r="O21" s="294">
        <f>0</f>
        <v>0</v>
      </c>
      <c r="P21" s="294">
        <f>0</f>
        <v>0</v>
      </c>
      <c r="Q21" s="295">
        <f>SUM(B21:P21)</f>
        <v>0</v>
      </c>
    </row>
    <row r="22" spans="1:17" s="91" customFormat="1" ht="20.25" customHeight="1">
      <c r="A22" s="297" t="s">
        <v>230</v>
      </c>
      <c r="B22" s="290"/>
      <c r="C22" s="290"/>
      <c r="D22" s="298"/>
      <c r="E22" s="291"/>
      <c r="F22" s="291"/>
      <c r="G22" s="291"/>
      <c r="H22" s="290"/>
      <c r="I22" s="291"/>
      <c r="J22" s="291"/>
      <c r="K22" s="292"/>
      <c r="L22" s="292"/>
      <c r="M22" s="292"/>
      <c r="N22" s="290"/>
      <c r="O22" s="291"/>
      <c r="P22" s="291"/>
      <c r="Q22" s="291"/>
    </row>
    <row r="23" spans="1:17" s="91" customFormat="1" ht="21">
      <c r="A23" s="236">
        <v>320100</v>
      </c>
      <c r="B23" s="290">
        <v>0</v>
      </c>
      <c r="C23" s="290">
        <v>0</v>
      </c>
      <c r="D23" s="290">
        <v>0</v>
      </c>
      <c r="E23" s="290">
        <v>0</v>
      </c>
      <c r="F23" s="290">
        <v>0</v>
      </c>
      <c r="G23" s="290">
        <v>0</v>
      </c>
      <c r="H23" s="290">
        <v>0</v>
      </c>
      <c r="I23" s="290">
        <v>0</v>
      </c>
      <c r="J23" s="290">
        <v>0</v>
      </c>
      <c r="K23" s="290">
        <v>0</v>
      </c>
      <c r="L23" s="290">
        <v>0</v>
      </c>
      <c r="M23" s="290">
        <v>0</v>
      </c>
      <c r="N23" s="290">
        <v>0</v>
      </c>
      <c r="O23" s="290">
        <v>0</v>
      </c>
      <c r="P23" s="290">
        <v>0</v>
      </c>
      <c r="Q23" s="291">
        <f>SUM(B23:P23)</f>
        <v>0</v>
      </c>
    </row>
    <row r="24" spans="1:17" s="91" customFormat="1" ht="21">
      <c r="A24" s="236" t="s">
        <v>18</v>
      </c>
      <c r="B24" s="290">
        <f aca="true" t="shared" si="4" ref="B24:P24">SUM(B23:B23)</f>
        <v>0</v>
      </c>
      <c r="C24" s="290">
        <f t="shared" si="4"/>
        <v>0</v>
      </c>
      <c r="D24" s="290">
        <f t="shared" si="4"/>
        <v>0</v>
      </c>
      <c r="E24" s="290">
        <f t="shared" si="4"/>
        <v>0</v>
      </c>
      <c r="F24" s="290">
        <f t="shared" si="4"/>
        <v>0</v>
      </c>
      <c r="G24" s="290">
        <f t="shared" si="4"/>
        <v>0</v>
      </c>
      <c r="H24" s="290">
        <f t="shared" si="4"/>
        <v>0</v>
      </c>
      <c r="I24" s="290">
        <f t="shared" si="4"/>
        <v>0</v>
      </c>
      <c r="J24" s="290">
        <f t="shared" si="4"/>
        <v>0</v>
      </c>
      <c r="K24" s="290">
        <f t="shared" si="4"/>
        <v>0</v>
      </c>
      <c r="L24" s="290">
        <f t="shared" si="4"/>
        <v>0</v>
      </c>
      <c r="M24" s="290">
        <f t="shared" si="4"/>
        <v>0</v>
      </c>
      <c r="N24" s="290">
        <f t="shared" si="4"/>
        <v>0</v>
      </c>
      <c r="O24" s="290">
        <f t="shared" si="4"/>
        <v>0</v>
      </c>
      <c r="P24" s="290">
        <f t="shared" si="4"/>
        <v>0</v>
      </c>
      <c r="Q24" s="291">
        <f>SUM(B24:P24)</f>
        <v>0</v>
      </c>
    </row>
    <row r="25" spans="1:17" s="296" customFormat="1" ht="21">
      <c r="A25" s="302" t="s">
        <v>19</v>
      </c>
      <c r="B25" s="294">
        <f>0</f>
        <v>0</v>
      </c>
      <c r="C25" s="294">
        <v>0</v>
      </c>
      <c r="D25" s="294">
        <f>0</f>
        <v>0</v>
      </c>
      <c r="E25" s="294">
        <f>0</f>
        <v>0</v>
      </c>
      <c r="F25" s="294">
        <f>0</f>
        <v>0</v>
      </c>
      <c r="G25" s="294">
        <v>0</v>
      </c>
      <c r="H25" s="294">
        <f>0</f>
        <v>0</v>
      </c>
      <c r="I25" s="294">
        <f>0</f>
        <v>0</v>
      </c>
      <c r="J25" s="294">
        <f>0</f>
        <v>0</v>
      </c>
      <c r="K25" s="294">
        <f>0</f>
        <v>0</v>
      </c>
      <c r="L25" s="294">
        <v>0</v>
      </c>
      <c r="M25" s="294">
        <f>0</f>
        <v>0</v>
      </c>
      <c r="N25" s="294">
        <f>0</f>
        <v>0</v>
      </c>
      <c r="O25" s="294">
        <f>0</f>
        <v>0</v>
      </c>
      <c r="P25" s="294">
        <f>0</f>
        <v>0</v>
      </c>
      <c r="Q25" s="295">
        <f>SUM(B25:P25)</f>
        <v>0</v>
      </c>
    </row>
    <row r="26" spans="1:17" s="91" customFormat="1" ht="18" customHeight="1">
      <c r="A26" s="297" t="s">
        <v>231</v>
      </c>
      <c r="B26" s="300"/>
      <c r="C26" s="290"/>
      <c r="D26" s="301"/>
      <c r="E26" s="286"/>
      <c r="F26" s="290"/>
      <c r="G26" s="290"/>
      <c r="H26" s="290"/>
      <c r="I26" s="303"/>
      <c r="J26" s="300"/>
      <c r="K26" s="298"/>
      <c r="L26" s="301"/>
      <c r="M26" s="287"/>
      <c r="N26" s="290"/>
      <c r="O26" s="291"/>
      <c r="P26" s="291"/>
      <c r="Q26" s="291"/>
    </row>
    <row r="27" spans="1:17" s="91" customFormat="1" ht="21">
      <c r="A27" s="236">
        <v>330200</v>
      </c>
      <c r="B27" s="290">
        <v>0</v>
      </c>
      <c r="C27" s="290">
        <v>0</v>
      </c>
      <c r="D27" s="290">
        <v>0</v>
      </c>
      <c r="E27" s="290">
        <v>0</v>
      </c>
      <c r="F27" s="290">
        <v>0</v>
      </c>
      <c r="G27" s="290">
        <v>98580</v>
      </c>
      <c r="H27" s="290">
        <v>0</v>
      </c>
      <c r="I27" s="290">
        <v>0</v>
      </c>
      <c r="J27" s="290">
        <v>0</v>
      </c>
      <c r="K27" s="290">
        <v>0</v>
      </c>
      <c r="L27" s="290">
        <v>0</v>
      </c>
      <c r="M27" s="290">
        <v>0</v>
      </c>
      <c r="N27" s="290">
        <v>0</v>
      </c>
      <c r="O27" s="290">
        <v>0</v>
      </c>
      <c r="P27" s="290">
        <v>0</v>
      </c>
      <c r="Q27" s="291">
        <f>SUM(B27:P27)</f>
        <v>98580</v>
      </c>
    </row>
    <row r="28" spans="1:17" s="91" customFormat="1" ht="21">
      <c r="A28" s="236" t="s">
        <v>18</v>
      </c>
      <c r="B28" s="290">
        <f aca="true" t="shared" si="5" ref="B28:P28">SUM(B27:B27)</f>
        <v>0</v>
      </c>
      <c r="C28" s="290">
        <f t="shared" si="5"/>
        <v>0</v>
      </c>
      <c r="D28" s="290">
        <f t="shared" si="5"/>
        <v>0</v>
      </c>
      <c r="E28" s="290">
        <f t="shared" si="5"/>
        <v>0</v>
      </c>
      <c r="F28" s="290">
        <f t="shared" si="5"/>
        <v>0</v>
      </c>
      <c r="G28" s="290">
        <f t="shared" si="5"/>
        <v>98580</v>
      </c>
      <c r="H28" s="290">
        <f t="shared" si="5"/>
        <v>0</v>
      </c>
      <c r="I28" s="290">
        <f t="shared" si="5"/>
        <v>0</v>
      </c>
      <c r="J28" s="290">
        <f t="shared" si="5"/>
        <v>0</v>
      </c>
      <c r="K28" s="290">
        <f t="shared" si="5"/>
        <v>0</v>
      </c>
      <c r="L28" s="290">
        <f t="shared" si="5"/>
        <v>0</v>
      </c>
      <c r="M28" s="290">
        <f t="shared" si="5"/>
        <v>0</v>
      </c>
      <c r="N28" s="290">
        <f t="shared" si="5"/>
        <v>0</v>
      </c>
      <c r="O28" s="290">
        <f t="shared" si="5"/>
        <v>0</v>
      </c>
      <c r="P28" s="290">
        <f t="shared" si="5"/>
        <v>0</v>
      </c>
      <c r="Q28" s="291">
        <f>SUM(B28:P28)</f>
        <v>98580</v>
      </c>
    </row>
    <row r="29" spans="1:17" s="296" customFormat="1" ht="21">
      <c r="A29" s="293" t="s">
        <v>19</v>
      </c>
      <c r="B29" s="294">
        <f>0</f>
        <v>0</v>
      </c>
      <c r="C29" s="294">
        <v>0</v>
      </c>
      <c r="D29" s="294">
        <v>0</v>
      </c>
      <c r="E29" s="294">
        <f>0</f>
        <v>0</v>
      </c>
      <c r="F29" s="294">
        <f>0</f>
        <v>0</v>
      </c>
      <c r="G29" s="294">
        <v>98580</v>
      </c>
      <c r="H29" s="294">
        <f>0</f>
        <v>0</v>
      </c>
      <c r="I29" s="294">
        <f>0</f>
        <v>0</v>
      </c>
      <c r="J29" s="294">
        <f>0</f>
        <v>0</v>
      </c>
      <c r="K29" s="294">
        <v>0</v>
      </c>
      <c r="L29" s="294">
        <v>0</v>
      </c>
      <c r="M29" s="294">
        <f>0</f>
        <v>0</v>
      </c>
      <c r="N29" s="294">
        <f>0</f>
        <v>0</v>
      </c>
      <c r="O29" s="294">
        <f>0</f>
        <v>0</v>
      </c>
      <c r="P29" s="294">
        <f>0</f>
        <v>0</v>
      </c>
      <c r="Q29" s="295">
        <f>SUM(B29:P29)</f>
        <v>98580</v>
      </c>
    </row>
    <row r="30" spans="1:17" s="296" customFormat="1" ht="21">
      <c r="A30" s="304"/>
      <c r="B30" s="305"/>
      <c r="C30" s="305"/>
      <c r="D30" s="553" t="s">
        <v>7</v>
      </c>
      <c r="E30" s="553"/>
      <c r="F30" s="553"/>
      <c r="G30" s="553"/>
      <c r="H30" s="306"/>
      <c r="I30" s="306"/>
      <c r="J30" s="306"/>
      <c r="K30" s="553" t="s">
        <v>98</v>
      </c>
      <c r="L30" s="553"/>
      <c r="M30" s="553"/>
      <c r="N30" s="305"/>
      <c r="O30" s="305"/>
      <c r="P30" s="305"/>
      <c r="Q30" s="307"/>
    </row>
    <row r="31" spans="1:17" s="296" customFormat="1" ht="21">
      <c r="A31" s="244"/>
      <c r="B31" s="308"/>
      <c r="C31" s="308"/>
      <c r="D31" s="309"/>
      <c r="E31" s="309"/>
      <c r="F31" s="309"/>
      <c r="G31" s="309"/>
      <c r="H31" s="306"/>
      <c r="I31" s="306"/>
      <c r="J31" s="306"/>
      <c r="K31" s="309"/>
      <c r="L31" s="309"/>
      <c r="M31" s="309"/>
      <c r="N31" s="308"/>
      <c r="O31" s="308"/>
      <c r="P31" s="308"/>
      <c r="Q31" s="310"/>
    </row>
    <row r="32" spans="1:17" s="296" customFormat="1" ht="21">
      <c r="A32" s="304"/>
      <c r="B32" s="305"/>
      <c r="C32" s="305"/>
      <c r="D32" s="554" t="s">
        <v>117</v>
      </c>
      <c r="E32" s="554"/>
      <c r="F32" s="554"/>
      <c r="G32" s="554"/>
      <c r="H32" s="306"/>
      <c r="I32" s="306"/>
      <c r="J32" s="306"/>
      <c r="K32" s="554" t="s">
        <v>99</v>
      </c>
      <c r="L32" s="554"/>
      <c r="M32" s="554"/>
      <c r="N32" s="305"/>
      <c r="O32" s="305"/>
      <c r="P32" s="305"/>
      <c r="Q32" s="307"/>
    </row>
    <row r="33" spans="1:17" s="296" customFormat="1" ht="21">
      <c r="A33" s="304"/>
      <c r="B33" s="305"/>
      <c r="C33" s="305"/>
      <c r="D33" s="554" t="s">
        <v>108</v>
      </c>
      <c r="E33" s="554"/>
      <c r="F33" s="554"/>
      <c r="G33" s="554"/>
      <c r="H33" s="306"/>
      <c r="I33" s="306"/>
      <c r="J33" s="306"/>
      <c r="K33" s="554" t="s">
        <v>97</v>
      </c>
      <c r="L33" s="554"/>
      <c r="M33" s="554"/>
      <c r="N33" s="305"/>
      <c r="O33" s="305"/>
      <c r="P33" s="305"/>
      <c r="Q33" s="307"/>
    </row>
    <row r="34" spans="1:17" s="91" customFormat="1" ht="21.75" thickBot="1">
      <c r="A34" s="559" t="s">
        <v>20</v>
      </c>
      <c r="B34" s="559"/>
      <c r="C34" s="559"/>
      <c r="D34" s="559"/>
      <c r="E34" s="559"/>
      <c r="F34" s="559"/>
      <c r="G34" s="559"/>
      <c r="H34" s="559"/>
      <c r="I34" s="559"/>
      <c r="J34" s="559"/>
      <c r="K34" s="559"/>
      <c r="L34" s="559"/>
      <c r="M34" s="559"/>
      <c r="N34" s="559"/>
      <c r="O34" s="559"/>
      <c r="P34" s="559"/>
      <c r="Q34" s="559"/>
    </row>
    <row r="35" spans="1:17" s="276" customFormat="1" ht="21">
      <c r="A35" s="271" t="s">
        <v>15</v>
      </c>
      <c r="B35" s="272" t="s">
        <v>77</v>
      </c>
      <c r="C35" s="555" t="s">
        <v>79</v>
      </c>
      <c r="D35" s="556"/>
      <c r="E35" s="555" t="s">
        <v>82</v>
      </c>
      <c r="F35" s="556"/>
      <c r="G35" s="555" t="s">
        <v>83</v>
      </c>
      <c r="H35" s="556"/>
      <c r="I35" s="555" t="s">
        <v>84</v>
      </c>
      <c r="J35" s="557"/>
      <c r="K35" s="555" t="s">
        <v>88</v>
      </c>
      <c r="L35" s="556"/>
      <c r="M35" s="272" t="s">
        <v>89</v>
      </c>
      <c r="N35" s="273" t="s">
        <v>92</v>
      </c>
      <c r="O35" s="274" t="s">
        <v>93</v>
      </c>
      <c r="P35" s="274" t="s">
        <v>96</v>
      </c>
      <c r="Q35" s="275" t="s">
        <v>16</v>
      </c>
    </row>
    <row r="36" spans="1:17" s="276" customFormat="1" ht="21.75" thickBot="1">
      <c r="A36" s="277" t="s">
        <v>17</v>
      </c>
      <c r="B36" s="278" t="s">
        <v>78</v>
      </c>
      <c r="C36" s="279" t="s">
        <v>80</v>
      </c>
      <c r="D36" s="280" t="s">
        <v>81</v>
      </c>
      <c r="E36" s="278" t="s">
        <v>73</v>
      </c>
      <c r="F36" s="278" t="s">
        <v>74</v>
      </c>
      <c r="G36" s="278" t="s">
        <v>75</v>
      </c>
      <c r="H36" s="278" t="s">
        <v>76</v>
      </c>
      <c r="I36" s="280" t="s">
        <v>85</v>
      </c>
      <c r="J36" s="281" t="s">
        <v>86</v>
      </c>
      <c r="K36" s="279" t="s">
        <v>107</v>
      </c>
      <c r="L36" s="279" t="s">
        <v>106</v>
      </c>
      <c r="M36" s="279" t="s">
        <v>90</v>
      </c>
      <c r="N36" s="282" t="s">
        <v>91</v>
      </c>
      <c r="O36" s="283" t="s">
        <v>94</v>
      </c>
      <c r="P36" s="283" t="s">
        <v>95</v>
      </c>
      <c r="Q36" s="284"/>
    </row>
    <row r="37" spans="1:17" s="91" customFormat="1" ht="21">
      <c r="A37" s="297" t="s">
        <v>241</v>
      </c>
      <c r="B37" s="291"/>
      <c r="C37" s="290"/>
      <c r="D37" s="292"/>
      <c r="E37" s="291"/>
      <c r="F37" s="291"/>
      <c r="G37" s="291"/>
      <c r="H37" s="291"/>
      <c r="I37" s="291"/>
      <c r="J37" s="291"/>
      <c r="K37" s="292"/>
      <c r="L37" s="292"/>
      <c r="M37" s="291"/>
      <c r="N37" s="290"/>
      <c r="O37" s="291"/>
      <c r="P37" s="291"/>
      <c r="Q37" s="291"/>
    </row>
    <row r="38" spans="1:17" s="91" customFormat="1" ht="21">
      <c r="A38" s="236">
        <v>340100</v>
      </c>
      <c r="B38" s="290">
        <v>0</v>
      </c>
      <c r="C38" s="290">
        <v>0</v>
      </c>
      <c r="D38" s="290">
        <v>0</v>
      </c>
      <c r="E38" s="290">
        <v>0</v>
      </c>
      <c r="F38" s="290">
        <v>0</v>
      </c>
      <c r="G38" s="290">
        <v>0</v>
      </c>
      <c r="H38" s="290">
        <v>0</v>
      </c>
      <c r="I38" s="290">
        <v>0</v>
      </c>
      <c r="J38" s="290">
        <v>0</v>
      </c>
      <c r="K38" s="290">
        <v>0</v>
      </c>
      <c r="L38" s="290">
        <v>0</v>
      </c>
      <c r="M38" s="290">
        <v>0</v>
      </c>
      <c r="N38" s="290">
        <v>0</v>
      </c>
      <c r="O38" s="290">
        <v>0</v>
      </c>
      <c r="P38" s="290">
        <v>0</v>
      </c>
      <c r="Q38" s="291">
        <f>SUM(B38:P38)</f>
        <v>0</v>
      </c>
    </row>
    <row r="39" spans="1:17" s="91" customFormat="1" ht="21">
      <c r="A39" s="236" t="s">
        <v>18</v>
      </c>
      <c r="B39" s="291">
        <f aca="true" t="shared" si="6" ref="B39:K39">SUM(B38:B38)</f>
        <v>0</v>
      </c>
      <c r="C39" s="291">
        <f t="shared" si="6"/>
        <v>0</v>
      </c>
      <c r="D39" s="291">
        <f t="shared" si="6"/>
        <v>0</v>
      </c>
      <c r="E39" s="291">
        <f t="shared" si="6"/>
        <v>0</v>
      </c>
      <c r="F39" s="291">
        <f t="shared" si="6"/>
        <v>0</v>
      </c>
      <c r="G39" s="291">
        <f t="shared" si="6"/>
        <v>0</v>
      </c>
      <c r="H39" s="291">
        <f t="shared" si="6"/>
        <v>0</v>
      </c>
      <c r="I39" s="291">
        <f t="shared" si="6"/>
        <v>0</v>
      </c>
      <c r="J39" s="291">
        <f t="shared" si="6"/>
        <v>0</v>
      </c>
      <c r="K39" s="291">
        <f t="shared" si="6"/>
        <v>0</v>
      </c>
      <c r="L39" s="291">
        <v>0</v>
      </c>
      <c r="M39" s="291">
        <f>SUM(M38:M38)</f>
        <v>0</v>
      </c>
      <c r="N39" s="291">
        <f>SUM(N38:N38)</f>
        <v>0</v>
      </c>
      <c r="O39" s="291">
        <f>SUM(O38:O38)</f>
        <v>0</v>
      </c>
      <c r="P39" s="291">
        <f>SUM(P38:P38)</f>
        <v>0</v>
      </c>
      <c r="Q39" s="291">
        <f>SUM(B39:P39)</f>
        <v>0</v>
      </c>
    </row>
    <row r="40" spans="1:17" s="296" customFormat="1" ht="21">
      <c r="A40" s="293" t="s">
        <v>19</v>
      </c>
      <c r="B40" s="294">
        <f>0</f>
        <v>0</v>
      </c>
      <c r="C40" s="294">
        <v>0</v>
      </c>
      <c r="D40" s="294">
        <f>0</f>
        <v>0</v>
      </c>
      <c r="E40" s="294">
        <f>0</f>
        <v>0</v>
      </c>
      <c r="F40" s="294">
        <f>0</f>
        <v>0</v>
      </c>
      <c r="G40" s="294">
        <f>0</f>
        <v>0</v>
      </c>
      <c r="H40" s="294">
        <f>0</f>
        <v>0</v>
      </c>
      <c r="I40" s="294">
        <f>0</f>
        <v>0</v>
      </c>
      <c r="J40" s="294">
        <f>0</f>
        <v>0</v>
      </c>
      <c r="K40" s="294">
        <f>0</f>
        <v>0</v>
      </c>
      <c r="L40" s="294">
        <v>0</v>
      </c>
      <c r="M40" s="294">
        <v>0</v>
      </c>
      <c r="N40" s="294">
        <f>0</f>
        <v>0</v>
      </c>
      <c r="O40" s="294">
        <f>0</f>
        <v>0</v>
      </c>
      <c r="P40" s="294">
        <f>0</f>
        <v>0</v>
      </c>
      <c r="Q40" s="295">
        <f>SUM(B40:P40)</f>
        <v>0</v>
      </c>
    </row>
    <row r="41" spans="1:17" s="91" customFormat="1" ht="21">
      <c r="A41" s="297" t="s">
        <v>232</v>
      </c>
      <c r="B41" s="291"/>
      <c r="C41" s="290"/>
      <c r="D41" s="292"/>
      <c r="E41" s="291"/>
      <c r="F41" s="291"/>
      <c r="G41" s="291"/>
      <c r="H41" s="291"/>
      <c r="I41" s="291"/>
      <c r="J41" s="291"/>
      <c r="K41" s="292"/>
      <c r="L41" s="292"/>
      <c r="M41" s="291"/>
      <c r="N41" s="290"/>
      <c r="O41" s="291"/>
      <c r="P41" s="291"/>
      <c r="Q41" s="291"/>
    </row>
    <row r="42" spans="1:17" s="91" customFormat="1" ht="21">
      <c r="A42" s="236">
        <v>410100</v>
      </c>
      <c r="B42" s="290">
        <v>0</v>
      </c>
      <c r="C42" s="290">
        <v>0</v>
      </c>
      <c r="D42" s="290">
        <v>0</v>
      </c>
      <c r="E42" s="290">
        <v>0</v>
      </c>
      <c r="F42" s="290">
        <v>0</v>
      </c>
      <c r="G42" s="290">
        <v>0</v>
      </c>
      <c r="H42" s="290">
        <v>0</v>
      </c>
      <c r="I42" s="290">
        <v>0</v>
      </c>
      <c r="J42" s="290">
        <v>0</v>
      </c>
      <c r="K42" s="290">
        <v>0</v>
      </c>
      <c r="L42" s="290">
        <v>0</v>
      </c>
      <c r="M42" s="290">
        <v>0</v>
      </c>
      <c r="N42" s="290">
        <v>0</v>
      </c>
      <c r="O42" s="290">
        <v>0</v>
      </c>
      <c r="P42" s="290">
        <v>0</v>
      </c>
      <c r="Q42" s="291">
        <f>SUM(B42:P42)</f>
        <v>0</v>
      </c>
    </row>
    <row r="43" spans="1:17" s="91" customFormat="1" ht="21">
      <c r="A43" s="236" t="s">
        <v>18</v>
      </c>
      <c r="B43" s="291">
        <f aca="true" t="shared" si="7" ref="B43:P43">SUM(B42)</f>
        <v>0</v>
      </c>
      <c r="C43" s="291">
        <f t="shared" si="7"/>
        <v>0</v>
      </c>
      <c r="D43" s="291">
        <f t="shared" si="7"/>
        <v>0</v>
      </c>
      <c r="E43" s="291">
        <f t="shared" si="7"/>
        <v>0</v>
      </c>
      <c r="F43" s="291">
        <f t="shared" si="7"/>
        <v>0</v>
      </c>
      <c r="G43" s="291">
        <f t="shared" si="7"/>
        <v>0</v>
      </c>
      <c r="H43" s="291">
        <f t="shared" si="7"/>
        <v>0</v>
      </c>
      <c r="I43" s="291">
        <f t="shared" si="7"/>
        <v>0</v>
      </c>
      <c r="J43" s="291">
        <f t="shared" si="7"/>
        <v>0</v>
      </c>
      <c r="K43" s="291">
        <f t="shared" si="7"/>
        <v>0</v>
      </c>
      <c r="L43" s="291">
        <f t="shared" si="7"/>
        <v>0</v>
      </c>
      <c r="M43" s="291">
        <f t="shared" si="7"/>
        <v>0</v>
      </c>
      <c r="N43" s="291">
        <f t="shared" si="7"/>
        <v>0</v>
      </c>
      <c r="O43" s="291">
        <f t="shared" si="7"/>
        <v>0</v>
      </c>
      <c r="P43" s="291">
        <f t="shared" si="7"/>
        <v>0</v>
      </c>
      <c r="Q43" s="291">
        <f>SUM(B43:P43)</f>
        <v>0</v>
      </c>
    </row>
    <row r="44" spans="1:17" s="296" customFormat="1" ht="21">
      <c r="A44" s="293" t="s">
        <v>19</v>
      </c>
      <c r="B44" s="294">
        <f>0</f>
        <v>0</v>
      </c>
      <c r="C44" s="294">
        <v>0</v>
      </c>
      <c r="D44" s="294">
        <f>0</f>
        <v>0</v>
      </c>
      <c r="E44" s="294">
        <f>0</f>
        <v>0</v>
      </c>
      <c r="F44" s="294">
        <f>0</f>
        <v>0</v>
      </c>
      <c r="G44" s="294">
        <f>0</f>
        <v>0</v>
      </c>
      <c r="H44" s="294">
        <f>0</f>
        <v>0</v>
      </c>
      <c r="I44" s="294">
        <v>0</v>
      </c>
      <c r="J44" s="294">
        <v>0</v>
      </c>
      <c r="K44" s="294">
        <f>0</f>
        <v>0</v>
      </c>
      <c r="L44" s="294">
        <v>0</v>
      </c>
      <c r="M44" s="294">
        <f>0</f>
        <v>0</v>
      </c>
      <c r="N44" s="294">
        <f>0</f>
        <v>0</v>
      </c>
      <c r="O44" s="294">
        <f>0</f>
        <v>0</v>
      </c>
      <c r="P44" s="294">
        <f>0</f>
        <v>0</v>
      </c>
      <c r="Q44" s="295">
        <f>SUM(B44:P44)</f>
        <v>0</v>
      </c>
    </row>
    <row r="45" spans="1:17" s="91" customFormat="1" ht="21">
      <c r="A45" s="297" t="s">
        <v>233</v>
      </c>
      <c r="B45" s="291"/>
      <c r="C45" s="290"/>
      <c r="D45" s="292"/>
      <c r="E45" s="291"/>
      <c r="F45" s="291"/>
      <c r="G45" s="291"/>
      <c r="H45" s="291"/>
      <c r="I45" s="291"/>
      <c r="J45" s="291"/>
      <c r="K45" s="292"/>
      <c r="L45" s="292"/>
      <c r="M45" s="291"/>
      <c r="N45" s="290"/>
      <c r="O45" s="291"/>
      <c r="P45" s="291"/>
      <c r="Q45" s="291"/>
    </row>
    <row r="46" spans="1:17" s="91" customFormat="1" ht="21">
      <c r="A46" s="311">
        <v>420700</v>
      </c>
      <c r="B46" s="291"/>
      <c r="C46" s="290">
        <v>0</v>
      </c>
      <c r="D46" s="292">
        <v>0</v>
      </c>
      <c r="E46" s="291">
        <v>0</v>
      </c>
      <c r="F46" s="291">
        <v>0</v>
      </c>
      <c r="G46" s="291">
        <v>0</v>
      </c>
      <c r="H46" s="291">
        <v>0</v>
      </c>
      <c r="I46" s="291">
        <v>0</v>
      </c>
      <c r="J46" s="291">
        <v>0</v>
      </c>
      <c r="K46" s="292">
        <v>0</v>
      </c>
      <c r="L46" s="292">
        <v>0</v>
      </c>
      <c r="M46" s="291">
        <v>0</v>
      </c>
      <c r="N46" s="290">
        <v>0</v>
      </c>
      <c r="O46" s="291">
        <v>0</v>
      </c>
      <c r="P46" s="291">
        <v>0</v>
      </c>
      <c r="Q46" s="291">
        <f>SUM(B46:P46)</f>
        <v>0</v>
      </c>
    </row>
    <row r="47" spans="1:17" s="91" customFormat="1" ht="21">
      <c r="A47" s="236" t="s">
        <v>18</v>
      </c>
      <c r="B47" s="291">
        <f aca="true" t="shared" si="8" ref="B47:P47">SUM(B46:B46)</f>
        <v>0</v>
      </c>
      <c r="C47" s="291">
        <f t="shared" si="8"/>
        <v>0</v>
      </c>
      <c r="D47" s="291">
        <f t="shared" si="8"/>
        <v>0</v>
      </c>
      <c r="E47" s="291">
        <f t="shared" si="8"/>
        <v>0</v>
      </c>
      <c r="F47" s="291">
        <f t="shared" si="8"/>
        <v>0</v>
      </c>
      <c r="G47" s="291">
        <f t="shared" si="8"/>
        <v>0</v>
      </c>
      <c r="H47" s="291">
        <f t="shared" si="8"/>
        <v>0</v>
      </c>
      <c r="I47" s="291">
        <f t="shared" si="8"/>
        <v>0</v>
      </c>
      <c r="J47" s="291">
        <f t="shared" si="8"/>
        <v>0</v>
      </c>
      <c r="K47" s="291">
        <f t="shared" si="8"/>
        <v>0</v>
      </c>
      <c r="L47" s="291">
        <f t="shared" si="8"/>
        <v>0</v>
      </c>
      <c r="M47" s="291">
        <f t="shared" si="8"/>
        <v>0</v>
      </c>
      <c r="N47" s="291">
        <f t="shared" si="8"/>
        <v>0</v>
      </c>
      <c r="O47" s="291">
        <f t="shared" si="8"/>
        <v>0</v>
      </c>
      <c r="P47" s="291">
        <f t="shared" si="8"/>
        <v>0</v>
      </c>
      <c r="Q47" s="291">
        <f>SUM(B47:P47)</f>
        <v>0</v>
      </c>
    </row>
    <row r="48" spans="1:17" s="296" customFormat="1" ht="21">
      <c r="A48" s="293" t="s">
        <v>19</v>
      </c>
      <c r="B48" s="294">
        <f>0</f>
        <v>0</v>
      </c>
      <c r="C48" s="294">
        <v>0</v>
      </c>
      <c r="D48" s="294">
        <v>0</v>
      </c>
      <c r="E48" s="294">
        <f>0</f>
        <v>0</v>
      </c>
      <c r="F48" s="294">
        <f>0</f>
        <v>0</v>
      </c>
      <c r="G48" s="294">
        <f>0</f>
        <v>0</v>
      </c>
      <c r="H48" s="294">
        <f>0</f>
        <v>0</v>
      </c>
      <c r="I48" s="294">
        <f>0</f>
        <v>0</v>
      </c>
      <c r="J48" s="294">
        <f>0</f>
        <v>0</v>
      </c>
      <c r="K48" s="294">
        <f>0</f>
        <v>0</v>
      </c>
      <c r="L48" s="294">
        <v>0</v>
      </c>
      <c r="M48" s="294">
        <f>0</f>
        <v>0</v>
      </c>
      <c r="N48" s="294">
        <f>0</f>
        <v>0</v>
      </c>
      <c r="O48" s="294">
        <f>0</f>
        <v>0</v>
      </c>
      <c r="P48" s="294">
        <f>0</f>
        <v>0</v>
      </c>
      <c r="Q48" s="295">
        <f>SUM(B48:P48)</f>
        <v>0</v>
      </c>
    </row>
    <row r="49" spans="1:17" s="91" customFormat="1" ht="21">
      <c r="A49" s="297" t="s">
        <v>234</v>
      </c>
      <c r="B49" s="291"/>
      <c r="C49" s="290"/>
      <c r="D49" s="292"/>
      <c r="E49" s="291"/>
      <c r="F49" s="291"/>
      <c r="G49" s="291"/>
      <c r="H49" s="291"/>
      <c r="I49" s="291"/>
      <c r="J49" s="291"/>
      <c r="K49" s="292"/>
      <c r="L49" s="292"/>
      <c r="M49" s="291"/>
      <c r="N49" s="290"/>
      <c r="O49" s="291"/>
      <c r="P49" s="291"/>
      <c r="Q49" s="291"/>
    </row>
    <row r="50" spans="1:17" s="91" customFormat="1" ht="21">
      <c r="A50" s="236">
        <v>610100</v>
      </c>
      <c r="B50" s="290">
        <v>0</v>
      </c>
      <c r="C50" s="290">
        <v>0</v>
      </c>
      <c r="D50" s="290">
        <v>0</v>
      </c>
      <c r="E50" s="290">
        <v>0</v>
      </c>
      <c r="F50" s="290">
        <v>0</v>
      </c>
      <c r="G50" s="290">
        <v>0</v>
      </c>
      <c r="H50" s="290">
        <v>0</v>
      </c>
      <c r="I50" s="290">
        <v>0</v>
      </c>
      <c r="J50" s="290">
        <v>0</v>
      </c>
      <c r="K50" s="290">
        <v>0</v>
      </c>
      <c r="L50" s="290">
        <v>0</v>
      </c>
      <c r="M50" s="290">
        <v>0</v>
      </c>
      <c r="N50" s="290">
        <v>0</v>
      </c>
      <c r="O50" s="290">
        <v>0</v>
      </c>
      <c r="P50" s="290">
        <v>0</v>
      </c>
      <c r="Q50" s="291">
        <f>SUM(B50:P50)</f>
        <v>0</v>
      </c>
    </row>
    <row r="51" spans="1:17" s="91" customFormat="1" ht="21">
      <c r="A51" s="236" t="s">
        <v>18</v>
      </c>
      <c r="B51" s="291">
        <f aca="true" t="shared" si="9" ref="B51:P51">SUM(B50:B50)</f>
        <v>0</v>
      </c>
      <c r="C51" s="291">
        <f t="shared" si="9"/>
        <v>0</v>
      </c>
      <c r="D51" s="291">
        <f t="shared" si="9"/>
        <v>0</v>
      </c>
      <c r="E51" s="291">
        <f t="shared" si="9"/>
        <v>0</v>
      </c>
      <c r="F51" s="291">
        <f t="shared" si="9"/>
        <v>0</v>
      </c>
      <c r="G51" s="291">
        <f t="shared" si="9"/>
        <v>0</v>
      </c>
      <c r="H51" s="291">
        <f t="shared" si="9"/>
        <v>0</v>
      </c>
      <c r="I51" s="291">
        <f t="shared" si="9"/>
        <v>0</v>
      </c>
      <c r="J51" s="291">
        <f t="shared" si="9"/>
        <v>0</v>
      </c>
      <c r="K51" s="291">
        <f t="shared" si="9"/>
        <v>0</v>
      </c>
      <c r="L51" s="291">
        <f t="shared" si="9"/>
        <v>0</v>
      </c>
      <c r="M51" s="291">
        <f t="shared" si="9"/>
        <v>0</v>
      </c>
      <c r="N51" s="291">
        <f t="shared" si="9"/>
        <v>0</v>
      </c>
      <c r="O51" s="291">
        <f t="shared" si="9"/>
        <v>0</v>
      </c>
      <c r="P51" s="291">
        <f t="shared" si="9"/>
        <v>0</v>
      </c>
      <c r="Q51" s="291">
        <f>SUM(B51:P51)</f>
        <v>0</v>
      </c>
    </row>
    <row r="52" spans="1:17" s="296" customFormat="1" ht="21">
      <c r="A52" s="293" t="s">
        <v>19</v>
      </c>
      <c r="B52" s="294">
        <f>0</f>
        <v>0</v>
      </c>
      <c r="C52" s="294">
        <v>0</v>
      </c>
      <c r="D52" s="294">
        <f>0</f>
        <v>0</v>
      </c>
      <c r="E52" s="294">
        <f>0</f>
        <v>0</v>
      </c>
      <c r="F52" s="294">
        <f>0</f>
        <v>0</v>
      </c>
      <c r="G52" s="294">
        <f>0</f>
        <v>0</v>
      </c>
      <c r="H52" s="294">
        <f>0</f>
        <v>0</v>
      </c>
      <c r="I52" s="294">
        <f>0</f>
        <v>0</v>
      </c>
      <c r="J52" s="294">
        <f>0</f>
        <v>0</v>
      </c>
      <c r="K52" s="294">
        <f>0</f>
        <v>0</v>
      </c>
      <c r="L52" s="294">
        <v>0</v>
      </c>
      <c r="M52" s="294">
        <f>0</f>
        <v>0</v>
      </c>
      <c r="N52" s="294">
        <f>0</f>
        <v>0</v>
      </c>
      <c r="O52" s="294">
        <v>0</v>
      </c>
      <c r="P52" s="294">
        <f>0</f>
        <v>0</v>
      </c>
      <c r="Q52" s="295">
        <f>SUM(B52:P52)</f>
        <v>0</v>
      </c>
    </row>
    <row r="53" spans="1:17" s="91" customFormat="1" ht="21">
      <c r="A53" s="297" t="s">
        <v>235</v>
      </c>
      <c r="B53" s="290"/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1"/>
    </row>
    <row r="54" spans="1:17" s="91" customFormat="1" ht="21">
      <c r="A54" s="236">
        <v>510100</v>
      </c>
      <c r="B54" s="290">
        <v>0</v>
      </c>
      <c r="C54" s="290">
        <v>0</v>
      </c>
      <c r="D54" s="290">
        <v>0</v>
      </c>
      <c r="E54" s="290">
        <v>0</v>
      </c>
      <c r="F54" s="290">
        <v>0</v>
      </c>
      <c r="G54" s="290">
        <v>0</v>
      </c>
      <c r="H54" s="290">
        <v>0</v>
      </c>
      <c r="I54" s="290">
        <v>0</v>
      </c>
      <c r="J54" s="290">
        <v>0</v>
      </c>
      <c r="K54" s="290">
        <v>0</v>
      </c>
      <c r="L54" s="290">
        <v>0</v>
      </c>
      <c r="M54" s="290">
        <v>0</v>
      </c>
      <c r="N54" s="290">
        <v>0</v>
      </c>
      <c r="O54" s="290">
        <v>0</v>
      </c>
      <c r="P54" s="290">
        <v>0</v>
      </c>
      <c r="Q54" s="291">
        <f>SUM(B54:P54)</f>
        <v>0</v>
      </c>
    </row>
    <row r="55" spans="1:17" s="91" customFormat="1" ht="21">
      <c r="A55" s="236" t="s">
        <v>18</v>
      </c>
      <c r="B55" s="290">
        <f aca="true" t="shared" si="10" ref="B55:P55">SUM(B54)</f>
        <v>0</v>
      </c>
      <c r="C55" s="290">
        <f t="shared" si="10"/>
        <v>0</v>
      </c>
      <c r="D55" s="290">
        <f t="shared" si="10"/>
        <v>0</v>
      </c>
      <c r="E55" s="290">
        <f t="shared" si="10"/>
        <v>0</v>
      </c>
      <c r="F55" s="290">
        <f t="shared" si="10"/>
        <v>0</v>
      </c>
      <c r="G55" s="290">
        <f t="shared" si="10"/>
        <v>0</v>
      </c>
      <c r="H55" s="290">
        <f t="shared" si="10"/>
        <v>0</v>
      </c>
      <c r="I55" s="290">
        <f t="shared" si="10"/>
        <v>0</v>
      </c>
      <c r="J55" s="290">
        <f t="shared" si="10"/>
        <v>0</v>
      </c>
      <c r="K55" s="290">
        <f t="shared" si="10"/>
        <v>0</v>
      </c>
      <c r="L55" s="290">
        <f t="shared" si="10"/>
        <v>0</v>
      </c>
      <c r="M55" s="290">
        <f t="shared" si="10"/>
        <v>0</v>
      </c>
      <c r="N55" s="290">
        <f t="shared" si="10"/>
        <v>0</v>
      </c>
      <c r="O55" s="290">
        <f t="shared" si="10"/>
        <v>0</v>
      </c>
      <c r="P55" s="290">
        <f t="shared" si="10"/>
        <v>0</v>
      </c>
      <c r="Q55" s="291">
        <f>SUM(B55:P55)</f>
        <v>0</v>
      </c>
    </row>
    <row r="56" spans="1:17" s="296" customFormat="1" ht="21">
      <c r="A56" s="293" t="s">
        <v>19</v>
      </c>
      <c r="B56" s="294">
        <f>0</f>
        <v>0</v>
      </c>
      <c r="C56" s="294">
        <v>10000</v>
      </c>
      <c r="D56" s="294">
        <f>0</f>
        <v>0</v>
      </c>
      <c r="E56" s="294">
        <f>0</f>
        <v>0</v>
      </c>
      <c r="F56" s="294">
        <v>0</v>
      </c>
      <c r="G56" s="294">
        <f>0</f>
        <v>0</v>
      </c>
      <c r="H56" s="294">
        <f>0</f>
        <v>0</v>
      </c>
      <c r="I56" s="294">
        <f>0</f>
        <v>0</v>
      </c>
      <c r="J56" s="294">
        <v>0</v>
      </c>
      <c r="K56" s="294">
        <f>0</f>
        <v>0</v>
      </c>
      <c r="L56" s="294">
        <v>0</v>
      </c>
      <c r="M56" s="294">
        <f>0</f>
        <v>0</v>
      </c>
      <c r="N56" s="294"/>
      <c r="O56" s="294">
        <f>0</f>
        <v>0</v>
      </c>
      <c r="P56" s="294">
        <f>0</f>
        <v>0</v>
      </c>
      <c r="Q56" s="295">
        <f>SUM(B56:P56)</f>
        <v>10000</v>
      </c>
    </row>
    <row r="57" spans="1:17" s="91" customFormat="1" ht="21">
      <c r="A57" s="236" t="s">
        <v>70</v>
      </c>
      <c r="B57" s="291">
        <f aca="true" t="shared" si="11" ref="B57:J57">B8+B12+B16+B20+B24+B28+B39+B43+B47+B51+B55</f>
        <v>0</v>
      </c>
      <c r="C57" s="291">
        <f t="shared" si="11"/>
        <v>0</v>
      </c>
      <c r="D57" s="291">
        <f t="shared" si="11"/>
        <v>0</v>
      </c>
      <c r="E57" s="291">
        <f t="shared" si="11"/>
        <v>0</v>
      </c>
      <c r="F57" s="291">
        <f t="shared" si="11"/>
        <v>0</v>
      </c>
      <c r="G57" s="291">
        <f t="shared" si="11"/>
        <v>98580</v>
      </c>
      <c r="H57" s="291">
        <f t="shared" si="11"/>
        <v>0</v>
      </c>
      <c r="I57" s="291">
        <f t="shared" si="11"/>
        <v>0</v>
      </c>
      <c r="J57" s="291">
        <f t="shared" si="11"/>
        <v>0</v>
      </c>
      <c r="K57" s="291">
        <v>0</v>
      </c>
      <c r="L57" s="291">
        <f aca="true" t="shared" si="12" ref="L57:P58">L8+L12+L16+L20+L24+L28+L39+L43+L47+L51+L55</f>
        <v>0</v>
      </c>
      <c r="M57" s="291">
        <f t="shared" si="12"/>
        <v>0</v>
      </c>
      <c r="N57" s="291">
        <f t="shared" si="12"/>
        <v>0</v>
      </c>
      <c r="O57" s="291">
        <f t="shared" si="12"/>
        <v>0</v>
      </c>
      <c r="P57" s="291">
        <f t="shared" si="12"/>
        <v>0</v>
      </c>
      <c r="Q57" s="291">
        <f>SUM(B57:P57)</f>
        <v>98580</v>
      </c>
    </row>
    <row r="58" spans="1:17" s="296" customFormat="1" ht="21">
      <c r="A58" s="293" t="s">
        <v>101</v>
      </c>
      <c r="B58" s="295">
        <f aca="true" t="shared" si="13" ref="B58:J58">B9+B13+B17+B21+B25+B29+B40+B44+B48+B52+B56</f>
        <v>0</v>
      </c>
      <c r="C58" s="295">
        <f t="shared" si="13"/>
        <v>10000</v>
      </c>
      <c r="D58" s="295">
        <f t="shared" si="13"/>
        <v>0</v>
      </c>
      <c r="E58" s="295">
        <f t="shared" si="13"/>
        <v>0</v>
      </c>
      <c r="F58" s="295">
        <f t="shared" si="13"/>
        <v>0</v>
      </c>
      <c r="G58" s="295">
        <f t="shared" si="13"/>
        <v>98580</v>
      </c>
      <c r="H58" s="295">
        <f t="shared" si="13"/>
        <v>0</v>
      </c>
      <c r="I58" s="295">
        <f t="shared" si="13"/>
        <v>0</v>
      </c>
      <c r="J58" s="295">
        <f t="shared" si="13"/>
        <v>0</v>
      </c>
      <c r="K58" s="295">
        <v>0</v>
      </c>
      <c r="L58" s="295">
        <f t="shared" si="12"/>
        <v>0</v>
      </c>
      <c r="M58" s="295">
        <f t="shared" si="12"/>
        <v>0</v>
      </c>
      <c r="N58" s="295">
        <f t="shared" si="12"/>
        <v>0</v>
      </c>
      <c r="O58" s="295">
        <f t="shared" si="12"/>
        <v>0</v>
      </c>
      <c r="P58" s="295">
        <f t="shared" si="12"/>
        <v>0</v>
      </c>
      <c r="Q58" s="295">
        <f>SUM(B58:P58)</f>
        <v>108580</v>
      </c>
    </row>
    <row r="59" spans="1:17" s="296" customFormat="1" ht="21">
      <c r="A59" s="312"/>
      <c r="B59" s="313"/>
      <c r="C59" s="313"/>
      <c r="D59" s="553" t="s">
        <v>7</v>
      </c>
      <c r="E59" s="553"/>
      <c r="F59" s="553"/>
      <c r="G59" s="553"/>
      <c r="H59" s="306"/>
      <c r="I59" s="306"/>
      <c r="J59" s="306"/>
      <c r="K59" s="553" t="s">
        <v>98</v>
      </c>
      <c r="L59" s="553"/>
      <c r="M59" s="553"/>
      <c r="N59" s="313"/>
      <c r="O59" s="313"/>
      <c r="P59" s="313"/>
      <c r="Q59" s="314"/>
    </row>
    <row r="60" spans="1:17" s="296" customFormat="1" ht="21">
      <c r="A60" s="315"/>
      <c r="B60" s="308"/>
      <c r="C60" s="308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8"/>
      <c r="O60" s="308"/>
      <c r="P60" s="308"/>
      <c r="Q60" s="307"/>
    </row>
    <row r="61" spans="1:17" s="312" customFormat="1" ht="21">
      <c r="A61" s="315"/>
      <c r="B61" s="308"/>
      <c r="C61" s="308"/>
      <c r="D61" s="554" t="s">
        <v>115</v>
      </c>
      <c r="E61" s="554"/>
      <c r="F61" s="554"/>
      <c r="G61" s="554"/>
      <c r="H61" s="306"/>
      <c r="I61" s="306"/>
      <c r="J61" s="306"/>
      <c r="K61" s="554" t="s">
        <v>99</v>
      </c>
      <c r="L61" s="554"/>
      <c r="M61" s="554"/>
      <c r="N61" s="308"/>
      <c r="O61" s="308"/>
      <c r="P61" s="308"/>
      <c r="Q61" s="307"/>
    </row>
    <row r="62" spans="1:17" s="91" customFormat="1" ht="21">
      <c r="A62" s="244"/>
      <c r="B62" s="316"/>
      <c r="C62" s="316"/>
      <c r="D62" s="554" t="s">
        <v>108</v>
      </c>
      <c r="E62" s="554"/>
      <c r="F62" s="554"/>
      <c r="G62" s="554"/>
      <c r="H62" s="306"/>
      <c r="I62" s="306"/>
      <c r="J62" s="306"/>
      <c r="K62" s="554" t="s">
        <v>97</v>
      </c>
      <c r="L62" s="554"/>
      <c r="M62" s="554"/>
      <c r="N62" s="316"/>
      <c r="O62" s="316"/>
      <c r="P62" s="316"/>
      <c r="Q62" s="189"/>
    </row>
  </sheetData>
  <mergeCells count="26">
    <mergeCell ref="A1:Q1"/>
    <mergeCell ref="A2:Q2"/>
    <mergeCell ref="A3:Q3"/>
    <mergeCell ref="A34:Q34"/>
    <mergeCell ref="G4:H4"/>
    <mergeCell ref="I4:J4"/>
    <mergeCell ref="K30:M30"/>
    <mergeCell ref="K4:L4"/>
    <mergeCell ref="C4:D4"/>
    <mergeCell ref="E4:F4"/>
    <mergeCell ref="D62:G62"/>
    <mergeCell ref="D32:G32"/>
    <mergeCell ref="D33:G33"/>
    <mergeCell ref="K62:M62"/>
    <mergeCell ref="K59:M59"/>
    <mergeCell ref="E35:F35"/>
    <mergeCell ref="C35:D35"/>
    <mergeCell ref="I35:J35"/>
    <mergeCell ref="G35:H35"/>
    <mergeCell ref="K35:L35"/>
    <mergeCell ref="D30:G30"/>
    <mergeCell ref="K32:M32"/>
    <mergeCell ref="D59:G59"/>
    <mergeCell ref="K61:M61"/>
    <mergeCell ref="D61:G61"/>
    <mergeCell ref="K33:M33"/>
  </mergeCells>
  <printOptions/>
  <pageMargins left="0.7480314960629921" right="0.31496062992125984" top="0.3937007874015748" bottom="0" header="0.5511811023622047" footer="0.5118110236220472"/>
  <pageSetup horizontalDpi="180" verticalDpi="180" orientation="landscape" paperSize="9" scale="8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5"/>
  <sheetViews>
    <sheetView view="pageBreakPreview" zoomScaleNormal="85" zoomScaleSheetLayoutView="100" workbookViewId="0" topLeftCell="A1">
      <selection activeCell="B62" sqref="B62"/>
    </sheetView>
  </sheetViews>
  <sheetFormatPr defaultColWidth="9.140625" defaultRowHeight="21.75"/>
  <cols>
    <col min="1" max="1" width="25.8515625" style="0" bestFit="1" customWidth="1"/>
    <col min="2" max="2" width="10.00390625" style="0" bestFit="1" customWidth="1"/>
    <col min="3" max="3" width="9.57421875" style="0" customWidth="1"/>
    <col min="4" max="6" width="6.140625" style="0" bestFit="1" customWidth="1"/>
    <col min="7" max="7" width="8.57421875" style="0" customWidth="1"/>
    <col min="8" max="8" width="10.00390625" style="0" bestFit="1" customWidth="1"/>
    <col min="9" max="9" width="10.57421875" style="0" bestFit="1" customWidth="1"/>
    <col min="11" max="11" width="9.8515625" style="0" customWidth="1"/>
    <col min="12" max="12" width="9.28125" style="0" customWidth="1"/>
    <col min="13" max="13" width="10.421875" style="0" bestFit="1" customWidth="1"/>
    <col min="14" max="14" width="9.00390625" style="0" customWidth="1"/>
    <col min="15" max="15" width="9.421875" style="0" customWidth="1"/>
    <col min="16" max="16" width="8.421875" style="0" customWidth="1"/>
    <col min="17" max="17" width="13.00390625" style="0" bestFit="1" customWidth="1"/>
  </cols>
  <sheetData>
    <row r="1" spans="1:17" ht="21.75" customHeight="1">
      <c r="A1" s="540" t="s">
        <v>13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</row>
    <row r="2" spans="1:17" ht="21" customHeight="1">
      <c r="A2" s="540" t="s">
        <v>104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</row>
    <row r="3" spans="1:17" ht="21.75" customHeight="1" thickBot="1">
      <c r="A3" s="561" t="s">
        <v>288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</row>
    <row r="4" spans="1:17" s="348" customFormat="1" ht="19.5" customHeight="1">
      <c r="A4" s="343" t="s">
        <v>15</v>
      </c>
      <c r="B4" s="344" t="s">
        <v>77</v>
      </c>
      <c r="C4" s="563" t="s">
        <v>79</v>
      </c>
      <c r="D4" s="564"/>
      <c r="E4" s="563" t="s">
        <v>82</v>
      </c>
      <c r="F4" s="564"/>
      <c r="G4" s="563" t="s">
        <v>83</v>
      </c>
      <c r="H4" s="564"/>
      <c r="I4" s="563" t="s">
        <v>84</v>
      </c>
      <c r="J4" s="565"/>
      <c r="K4" s="563" t="s">
        <v>88</v>
      </c>
      <c r="L4" s="564"/>
      <c r="M4" s="344" t="s">
        <v>89</v>
      </c>
      <c r="N4" s="345" t="s">
        <v>92</v>
      </c>
      <c r="O4" s="346" t="s">
        <v>93</v>
      </c>
      <c r="P4" s="346" t="s">
        <v>96</v>
      </c>
      <c r="Q4" s="347" t="s">
        <v>16</v>
      </c>
    </row>
    <row r="5" spans="1:17" s="348" customFormat="1" ht="19.5" customHeight="1" thickBot="1">
      <c r="A5" s="349" t="s">
        <v>17</v>
      </c>
      <c r="B5" s="350" t="s">
        <v>78</v>
      </c>
      <c r="C5" s="351" t="s">
        <v>80</v>
      </c>
      <c r="D5" s="352" t="s">
        <v>81</v>
      </c>
      <c r="E5" s="350" t="s">
        <v>73</v>
      </c>
      <c r="F5" s="350" t="s">
        <v>74</v>
      </c>
      <c r="G5" s="350" t="s">
        <v>75</v>
      </c>
      <c r="H5" s="350" t="s">
        <v>76</v>
      </c>
      <c r="I5" s="352" t="s">
        <v>85</v>
      </c>
      <c r="J5" s="353" t="s">
        <v>86</v>
      </c>
      <c r="K5" s="351" t="s">
        <v>87</v>
      </c>
      <c r="L5" s="351" t="s">
        <v>106</v>
      </c>
      <c r="M5" s="351" t="s">
        <v>90</v>
      </c>
      <c r="N5" s="354" t="s">
        <v>91</v>
      </c>
      <c r="O5" s="355" t="s">
        <v>94</v>
      </c>
      <c r="P5" s="355" t="s">
        <v>95</v>
      </c>
      <c r="Q5" s="356"/>
    </row>
    <row r="6" spans="1:17" ht="19.5" customHeight="1">
      <c r="A6" s="246" t="s">
        <v>226</v>
      </c>
      <c r="B6" s="247"/>
      <c r="C6" s="247"/>
      <c r="D6" s="248"/>
      <c r="E6" s="247"/>
      <c r="F6" s="247"/>
      <c r="G6" s="247"/>
      <c r="H6" s="247"/>
      <c r="I6" s="247"/>
      <c r="J6" s="249"/>
      <c r="K6" s="248"/>
      <c r="L6" s="248"/>
      <c r="M6" s="248"/>
      <c r="N6" s="249"/>
      <c r="O6" s="249"/>
      <c r="P6" s="249"/>
      <c r="Q6" s="249"/>
    </row>
    <row r="7" spans="1:17" ht="19.5" customHeight="1">
      <c r="A7" s="250" t="s">
        <v>202</v>
      </c>
      <c r="B7" s="251">
        <v>48000</v>
      </c>
      <c r="C7" s="39">
        <v>0</v>
      </c>
      <c r="D7" s="252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f>SUM(B7:P7)</f>
        <v>48000</v>
      </c>
    </row>
    <row r="8" spans="1:17" ht="19.5" customHeight="1">
      <c r="A8" s="253" t="s">
        <v>18</v>
      </c>
      <c r="B8" s="251">
        <f aca="true" t="shared" si="0" ref="B8:P8">SUM(B7:B7)</f>
        <v>48000</v>
      </c>
      <c r="C8" s="251">
        <f t="shared" si="0"/>
        <v>0</v>
      </c>
      <c r="D8" s="251">
        <f t="shared" si="0"/>
        <v>0</v>
      </c>
      <c r="E8" s="251">
        <f t="shared" si="0"/>
        <v>0</v>
      </c>
      <c r="F8" s="251">
        <f t="shared" si="0"/>
        <v>0</v>
      </c>
      <c r="G8" s="251">
        <f t="shared" si="0"/>
        <v>0</v>
      </c>
      <c r="H8" s="251">
        <f t="shared" si="0"/>
        <v>0</v>
      </c>
      <c r="I8" s="251">
        <f t="shared" si="0"/>
        <v>0</v>
      </c>
      <c r="J8" s="251">
        <f t="shared" si="0"/>
        <v>0</v>
      </c>
      <c r="K8" s="251">
        <f t="shared" si="0"/>
        <v>0</v>
      </c>
      <c r="L8" s="251">
        <f t="shared" si="0"/>
        <v>0</v>
      </c>
      <c r="M8" s="251">
        <f t="shared" si="0"/>
        <v>0</v>
      </c>
      <c r="N8" s="251">
        <f t="shared" si="0"/>
        <v>0</v>
      </c>
      <c r="O8" s="251">
        <f t="shared" si="0"/>
        <v>0</v>
      </c>
      <c r="P8" s="251">
        <f t="shared" si="0"/>
        <v>0</v>
      </c>
      <c r="Q8" s="39">
        <f>SUM(B8:P8)</f>
        <v>48000</v>
      </c>
    </row>
    <row r="9" spans="1:17" s="38" customFormat="1" ht="19.5" customHeight="1">
      <c r="A9" s="254" t="s">
        <v>19</v>
      </c>
      <c r="B9" s="255">
        <v>48000</v>
      </c>
      <c r="C9" s="255">
        <f>0</f>
        <v>0</v>
      </c>
      <c r="D9" s="255">
        <f>0</f>
        <v>0</v>
      </c>
      <c r="E9" s="255">
        <f>0</f>
        <v>0</v>
      </c>
      <c r="F9" s="255">
        <f>0</f>
        <v>0</v>
      </c>
      <c r="G9" s="255">
        <f>0</f>
        <v>0</v>
      </c>
      <c r="H9" s="255">
        <f>0</f>
        <v>0</v>
      </c>
      <c r="I9" s="255">
        <f>0</f>
        <v>0</v>
      </c>
      <c r="J9" s="255">
        <f>0</f>
        <v>0</v>
      </c>
      <c r="K9" s="255">
        <f>0</f>
        <v>0</v>
      </c>
      <c r="L9" s="255">
        <f>0</f>
        <v>0</v>
      </c>
      <c r="M9" s="255">
        <f>0</f>
        <v>0</v>
      </c>
      <c r="N9" s="255">
        <f>0</f>
        <v>0</v>
      </c>
      <c r="O9" s="255">
        <f>0</f>
        <v>0</v>
      </c>
      <c r="P9" s="255">
        <f>0</f>
        <v>0</v>
      </c>
      <c r="Q9" s="40">
        <f>SUM(B9:P9)</f>
        <v>48000</v>
      </c>
    </row>
    <row r="10" spans="1:17" ht="19.5" customHeight="1">
      <c r="A10" s="256" t="s">
        <v>227</v>
      </c>
      <c r="B10" s="251"/>
      <c r="C10" s="39"/>
      <c r="D10" s="252"/>
      <c r="E10" s="39"/>
      <c r="F10" s="39"/>
      <c r="G10" s="39"/>
      <c r="H10" s="39"/>
      <c r="I10" s="39"/>
      <c r="J10" s="39"/>
      <c r="K10" s="252"/>
      <c r="L10" s="252"/>
      <c r="M10" s="252"/>
      <c r="N10" s="39"/>
      <c r="O10" s="39"/>
      <c r="P10" s="39"/>
      <c r="Q10" s="39"/>
    </row>
    <row r="11" spans="1:17" ht="19.5" customHeight="1">
      <c r="A11" s="253">
        <v>210100</v>
      </c>
      <c r="B11" s="251">
        <v>0</v>
      </c>
      <c r="C11" s="251">
        <v>0</v>
      </c>
      <c r="D11" s="251">
        <v>0</v>
      </c>
      <c r="E11" s="251">
        <v>0</v>
      </c>
      <c r="F11" s="251">
        <v>0</v>
      </c>
      <c r="G11" s="251">
        <v>0</v>
      </c>
      <c r="H11" s="251">
        <v>0</v>
      </c>
      <c r="I11" s="251">
        <v>0</v>
      </c>
      <c r="J11" s="251">
        <v>0</v>
      </c>
      <c r="K11" s="251">
        <v>0</v>
      </c>
      <c r="L11" s="251">
        <v>0</v>
      </c>
      <c r="M11" s="251">
        <v>0</v>
      </c>
      <c r="N11" s="251">
        <v>0</v>
      </c>
      <c r="O11" s="251">
        <v>0</v>
      </c>
      <c r="P11" s="251">
        <v>0</v>
      </c>
      <c r="Q11" s="39">
        <f>SUM(B11:P11)</f>
        <v>0</v>
      </c>
    </row>
    <row r="12" spans="1:17" ht="19.5" customHeight="1">
      <c r="A12" s="253" t="s">
        <v>18</v>
      </c>
      <c r="B12" s="251">
        <f aca="true" t="shared" si="1" ref="B12:P12">SUM(B11:B11)</f>
        <v>0</v>
      </c>
      <c r="C12" s="251">
        <f t="shared" si="1"/>
        <v>0</v>
      </c>
      <c r="D12" s="251">
        <f t="shared" si="1"/>
        <v>0</v>
      </c>
      <c r="E12" s="251">
        <f t="shared" si="1"/>
        <v>0</v>
      </c>
      <c r="F12" s="251">
        <f t="shared" si="1"/>
        <v>0</v>
      </c>
      <c r="G12" s="251">
        <f t="shared" si="1"/>
        <v>0</v>
      </c>
      <c r="H12" s="251">
        <f t="shared" si="1"/>
        <v>0</v>
      </c>
      <c r="I12" s="251">
        <f t="shared" si="1"/>
        <v>0</v>
      </c>
      <c r="J12" s="251">
        <f t="shared" si="1"/>
        <v>0</v>
      </c>
      <c r="K12" s="251">
        <f t="shared" si="1"/>
        <v>0</v>
      </c>
      <c r="L12" s="251">
        <f t="shared" si="1"/>
        <v>0</v>
      </c>
      <c r="M12" s="251">
        <f t="shared" si="1"/>
        <v>0</v>
      </c>
      <c r="N12" s="251">
        <f t="shared" si="1"/>
        <v>0</v>
      </c>
      <c r="O12" s="251">
        <f t="shared" si="1"/>
        <v>0</v>
      </c>
      <c r="P12" s="251">
        <f t="shared" si="1"/>
        <v>0</v>
      </c>
      <c r="Q12" s="39">
        <f>SUM(B12:P12)</f>
        <v>0</v>
      </c>
    </row>
    <row r="13" spans="1:17" s="38" customFormat="1" ht="19.5" customHeight="1">
      <c r="A13" s="254" t="s">
        <v>19</v>
      </c>
      <c r="B13" s="255">
        <f>0</f>
        <v>0</v>
      </c>
      <c r="C13" s="255">
        <v>0</v>
      </c>
      <c r="D13" s="255">
        <v>0</v>
      </c>
      <c r="E13" s="255">
        <f>0</f>
        <v>0</v>
      </c>
      <c r="F13" s="255">
        <f>0</f>
        <v>0</v>
      </c>
      <c r="G13" s="255">
        <v>0</v>
      </c>
      <c r="H13" s="255">
        <f>0</f>
        <v>0</v>
      </c>
      <c r="I13" s="255">
        <f>0</f>
        <v>0</v>
      </c>
      <c r="J13" s="255">
        <f>0</f>
        <v>0</v>
      </c>
      <c r="K13" s="255">
        <f>0</f>
        <v>0</v>
      </c>
      <c r="L13" s="255">
        <f>0</f>
        <v>0</v>
      </c>
      <c r="M13" s="255">
        <f>0</f>
        <v>0</v>
      </c>
      <c r="N13" s="255">
        <f>0</f>
        <v>0</v>
      </c>
      <c r="O13" s="255">
        <f>0</f>
        <v>0</v>
      </c>
      <c r="P13" s="255">
        <f>0</f>
        <v>0</v>
      </c>
      <c r="Q13" s="40">
        <f>SUM(B13:P13)</f>
        <v>0</v>
      </c>
    </row>
    <row r="14" spans="1:17" ht="19.5" customHeight="1">
      <c r="A14" s="256" t="s">
        <v>228</v>
      </c>
      <c r="B14" s="251"/>
      <c r="C14" s="251"/>
      <c r="D14" s="257"/>
      <c r="E14" s="39"/>
      <c r="F14" s="39"/>
      <c r="G14" s="39"/>
      <c r="H14" s="251"/>
      <c r="I14" s="39"/>
      <c r="J14" s="39"/>
      <c r="K14" s="252"/>
      <c r="L14" s="252"/>
      <c r="M14" s="252"/>
      <c r="N14" s="39"/>
      <c r="O14" s="39"/>
      <c r="P14" s="39"/>
      <c r="Q14" s="39"/>
    </row>
    <row r="15" spans="1:17" ht="19.5" customHeight="1">
      <c r="A15" s="253">
        <v>220100</v>
      </c>
      <c r="B15" s="251">
        <v>0</v>
      </c>
      <c r="C15" s="251">
        <v>0</v>
      </c>
      <c r="D15" s="251">
        <v>0</v>
      </c>
      <c r="E15" s="251">
        <v>0</v>
      </c>
      <c r="F15" s="251">
        <v>0</v>
      </c>
      <c r="G15" s="251">
        <v>0</v>
      </c>
      <c r="H15" s="251">
        <v>0</v>
      </c>
      <c r="I15" s="251">
        <v>0</v>
      </c>
      <c r="J15" s="251">
        <v>0</v>
      </c>
      <c r="K15" s="251">
        <v>0</v>
      </c>
      <c r="L15" s="251">
        <v>0</v>
      </c>
      <c r="M15" s="251">
        <v>0</v>
      </c>
      <c r="N15" s="251">
        <v>0</v>
      </c>
      <c r="O15" s="251">
        <v>0</v>
      </c>
      <c r="P15" s="251">
        <v>0</v>
      </c>
      <c r="Q15" s="39">
        <f>SUM(B15:P15)</f>
        <v>0</v>
      </c>
    </row>
    <row r="16" spans="1:17" ht="19.5" customHeight="1">
      <c r="A16" s="253" t="s">
        <v>18</v>
      </c>
      <c r="B16" s="251">
        <f aca="true" t="shared" si="2" ref="B16:P16">B15</f>
        <v>0</v>
      </c>
      <c r="C16" s="251">
        <f t="shared" si="2"/>
        <v>0</v>
      </c>
      <c r="D16" s="251">
        <f t="shared" si="2"/>
        <v>0</v>
      </c>
      <c r="E16" s="251">
        <f t="shared" si="2"/>
        <v>0</v>
      </c>
      <c r="F16" s="251">
        <f t="shared" si="2"/>
        <v>0</v>
      </c>
      <c r="G16" s="251">
        <f t="shared" si="2"/>
        <v>0</v>
      </c>
      <c r="H16" s="251">
        <f t="shared" si="2"/>
        <v>0</v>
      </c>
      <c r="I16" s="251">
        <f t="shared" si="2"/>
        <v>0</v>
      </c>
      <c r="J16" s="251">
        <f t="shared" si="2"/>
        <v>0</v>
      </c>
      <c r="K16" s="251">
        <f t="shared" si="2"/>
        <v>0</v>
      </c>
      <c r="L16" s="251">
        <f t="shared" si="2"/>
        <v>0</v>
      </c>
      <c r="M16" s="251">
        <f t="shared" si="2"/>
        <v>0</v>
      </c>
      <c r="N16" s="251">
        <f t="shared" si="2"/>
        <v>0</v>
      </c>
      <c r="O16" s="251">
        <f t="shared" si="2"/>
        <v>0</v>
      </c>
      <c r="P16" s="251">
        <f t="shared" si="2"/>
        <v>0</v>
      </c>
      <c r="Q16" s="39">
        <f>SUM(B16:P16)</f>
        <v>0</v>
      </c>
    </row>
    <row r="17" spans="1:17" s="38" customFormat="1" ht="19.5" customHeight="1">
      <c r="A17" s="254" t="s">
        <v>19</v>
      </c>
      <c r="B17" s="255">
        <f>0</f>
        <v>0</v>
      </c>
      <c r="C17" s="255">
        <v>0</v>
      </c>
      <c r="D17" s="255">
        <v>0</v>
      </c>
      <c r="E17" s="255">
        <f>0</f>
        <v>0</v>
      </c>
      <c r="F17" s="255">
        <f>0</f>
        <v>0</v>
      </c>
      <c r="G17" s="255">
        <f>0</f>
        <v>0</v>
      </c>
      <c r="H17" s="255">
        <f>0</f>
        <v>0</v>
      </c>
      <c r="I17" s="255">
        <f>0</f>
        <v>0</v>
      </c>
      <c r="J17" s="258">
        <f>0</f>
        <v>0</v>
      </c>
      <c r="K17" s="255">
        <f>0</f>
        <v>0</v>
      </c>
      <c r="L17" s="255">
        <f>0</f>
        <v>0</v>
      </c>
      <c r="M17" s="255">
        <f>0</f>
        <v>0</v>
      </c>
      <c r="N17" s="255">
        <f>0</f>
        <v>0</v>
      </c>
      <c r="O17" s="255">
        <f>0</f>
        <v>0</v>
      </c>
      <c r="P17" s="255">
        <f>0</f>
        <v>0</v>
      </c>
      <c r="Q17" s="40">
        <f>SUM(B17:P17)</f>
        <v>0</v>
      </c>
    </row>
    <row r="18" spans="1:17" ht="19.5" customHeight="1">
      <c r="A18" s="259" t="s">
        <v>229</v>
      </c>
      <c r="B18" s="260"/>
      <c r="C18" s="260"/>
      <c r="D18" s="261"/>
      <c r="E18" s="247"/>
      <c r="F18" s="247"/>
      <c r="G18" s="247"/>
      <c r="H18" s="260"/>
      <c r="I18" s="247"/>
      <c r="J18" s="39"/>
      <c r="K18" s="248"/>
      <c r="L18" s="248"/>
      <c r="M18" s="248"/>
      <c r="N18" s="247"/>
      <c r="O18" s="39"/>
      <c r="P18" s="39"/>
      <c r="Q18" s="39"/>
    </row>
    <row r="19" spans="1:17" ht="19.5" customHeight="1">
      <c r="A19" s="253">
        <v>310300</v>
      </c>
      <c r="B19" s="251">
        <v>0</v>
      </c>
      <c r="C19" s="251">
        <v>0</v>
      </c>
      <c r="D19" s="251">
        <v>0</v>
      </c>
      <c r="E19" s="251">
        <v>0</v>
      </c>
      <c r="F19" s="251">
        <v>0</v>
      </c>
      <c r="G19" s="251">
        <v>0</v>
      </c>
      <c r="H19" s="251">
        <v>0</v>
      </c>
      <c r="I19" s="251">
        <v>0</v>
      </c>
      <c r="J19" s="251">
        <v>0</v>
      </c>
      <c r="K19" s="251">
        <v>0</v>
      </c>
      <c r="L19" s="251">
        <v>0</v>
      </c>
      <c r="M19" s="251">
        <v>0</v>
      </c>
      <c r="N19" s="251">
        <v>0</v>
      </c>
      <c r="O19" s="251">
        <v>0</v>
      </c>
      <c r="P19" s="251">
        <v>0</v>
      </c>
      <c r="Q19" s="39">
        <f>SUM(B19:P19)</f>
        <v>0</v>
      </c>
    </row>
    <row r="20" spans="1:17" ht="19.5" customHeight="1">
      <c r="A20" s="253" t="s">
        <v>18</v>
      </c>
      <c r="B20" s="251">
        <f aca="true" t="shared" si="3" ref="B20:P20">SUM(B19:B19)</f>
        <v>0</v>
      </c>
      <c r="C20" s="251">
        <f t="shared" si="3"/>
        <v>0</v>
      </c>
      <c r="D20" s="251">
        <f t="shared" si="3"/>
        <v>0</v>
      </c>
      <c r="E20" s="251">
        <f t="shared" si="3"/>
        <v>0</v>
      </c>
      <c r="F20" s="251">
        <f t="shared" si="3"/>
        <v>0</v>
      </c>
      <c r="G20" s="251">
        <f t="shared" si="3"/>
        <v>0</v>
      </c>
      <c r="H20" s="251">
        <f t="shared" si="3"/>
        <v>0</v>
      </c>
      <c r="I20" s="251">
        <f t="shared" si="3"/>
        <v>0</v>
      </c>
      <c r="J20" s="251">
        <f t="shared" si="3"/>
        <v>0</v>
      </c>
      <c r="K20" s="251">
        <f t="shared" si="3"/>
        <v>0</v>
      </c>
      <c r="L20" s="251">
        <f t="shared" si="3"/>
        <v>0</v>
      </c>
      <c r="M20" s="251">
        <f t="shared" si="3"/>
        <v>0</v>
      </c>
      <c r="N20" s="251">
        <f t="shared" si="3"/>
        <v>0</v>
      </c>
      <c r="O20" s="251">
        <f t="shared" si="3"/>
        <v>0</v>
      </c>
      <c r="P20" s="251">
        <f t="shared" si="3"/>
        <v>0</v>
      </c>
      <c r="Q20" s="39">
        <f>SUM(B20:P20)</f>
        <v>0</v>
      </c>
    </row>
    <row r="21" spans="1:17" s="38" customFormat="1" ht="19.5" customHeight="1">
      <c r="A21" s="254" t="s">
        <v>19</v>
      </c>
      <c r="B21" s="255">
        <f>0</f>
        <v>0</v>
      </c>
      <c r="C21" s="255">
        <v>0</v>
      </c>
      <c r="D21" s="255">
        <v>0</v>
      </c>
      <c r="E21" s="255">
        <f>0</f>
        <v>0</v>
      </c>
      <c r="F21" s="255">
        <f>0</f>
        <v>0</v>
      </c>
      <c r="G21" s="255">
        <v>0</v>
      </c>
      <c r="H21" s="255">
        <f>0</f>
        <v>0</v>
      </c>
      <c r="I21" s="255">
        <f>0</f>
        <v>0</v>
      </c>
      <c r="J21" s="255">
        <f>0</f>
        <v>0</v>
      </c>
      <c r="K21" s="255">
        <f>0</f>
        <v>0</v>
      </c>
      <c r="L21" s="255">
        <v>0</v>
      </c>
      <c r="M21" s="255">
        <f>0</f>
        <v>0</v>
      </c>
      <c r="N21" s="255">
        <f>0</f>
        <v>0</v>
      </c>
      <c r="O21" s="255">
        <f>0</f>
        <v>0</v>
      </c>
      <c r="P21" s="255">
        <f>0</f>
        <v>0</v>
      </c>
      <c r="Q21" s="40">
        <f>SUM(B21:P21)</f>
        <v>0</v>
      </c>
    </row>
    <row r="22" spans="1:17" ht="19.5" customHeight="1">
      <c r="A22" s="256" t="s">
        <v>230</v>
      </c>
      <c r="B22" s="251"/>
      <c r="C22" s="251"/>
      <c r="D22" s="257"/>
      <c r="E22" s="39"/>
      <c r="F22" s="39"/>
      <c r="G22" s="39"/>
      <c r="H22" s="251"/>
      <c r="I22" s="39"/>
      <c r="J22" s="39"/>
      <c r="K22" s="252"/>
      <c r="L22" s="252"/>
      <c r="M22" s="252"/>
      <c r="N22" s="251"/>
      <c r="O22" s="39"/>
      <c r="P22" s="39"/>
      <c r="Q22" s="39"/>
    </row>
    <row r="23" spans="1:17" ht="19.5" customHeight="1">
      <c r="A23" s="253">
        <v>320100</v>
      </c>
      <c r="B23" s="251">
        <v>0</v>
      </c>
      <c r="C23" s="251">
        <v>0</v>
      </c>
      <c r="D23" s="251">
        <v>0</v>
      </c>
      <c r="E23" s="251">
        <v>0</v>
      </c>
      <c r="F23" s="251">
        <v>0</v>
      </c>
      <c r="G23" s="251">
        <v>0</v>
      </c>
      <c r="H23" s="251">
        <v>0</v>
      </c>
      <c r="I23" s="251">
        <v>0</v>
      </c>
      <c r="J23" s="251">
        <v>0</v>
      </c>
      <c r="K23" s="251">
        <v>0</v>
      </c>
      <c r="L23" s="251">
        <v>0</v>
      </c>
      <c r="M23" s="251">
        <v>0</v>
      </c>
      <c r="N23" s="251">
        <v>0</v>
      </c>
      <c r="O23" s="251">
        <v>0</v>
      </c>
      <c r="P23" s="251">
        <v>0</v>
      </c>
      <c r="Q23" s="39">
        <f>SUM(B23:P23)</f>
        <v>0</v>
      </c>
    </row>
    <row r="24" spans="1:17" ht="19.5" customHeight="1">
      <c r="A24" s="253">
        <v>320300</v>
      </c>
      <c r="B24" s="251">
        <v>0</v>
      </c>
      <c r="C24" s="251">
        <v>0</v>
      </c>
      <c r="D24" s="251">
        <v>0</v>
      </c>
      <c r="E24" s="251">
        <v>0</v>
      </c>
      <c r="F24" s="251">
        <v>0</v>
      </c>
      <c r="G24" s="251">
        <v>0</v>
      </c>
      <c r="H24" s="251">
        <v>0</v>
      </c>
      <c r="I24" s="251">
        <v>0</v>
      </c>
      <c r="J24" s="251">
        <v>0</v>
      </c>
      <c r="K24" s="251">
        <v>0</v>
      </c>
      <c r="L24" s="251">
        <v>0</v>
      </c>
      <c r="M24" s="251">
        <v>0</v>
      </c>
      <c r="N24" s="251">
        <v>0</v>
      </c>
      <c r="O24" s="251">
        <v>0</v>
      </c>
      <c r="P24" s="251">
        <v>0</v>
      </c>
      <c r="Q24" s="39">
        <f>SUM(B24:P24)</f>
        <v>0</v>
      </c>
    </row>
    <row r="25" spans="1:17" ht="19.5" customHeight="1">
      <c r="A25" s="253" t="s">
        <v>18</v>
      </c>
      <c r="B25" s="251">
        <f>SUM(B23:B24)</f>
        <v>0</v>
      </c>
      <c r="C25" s="251">
        <f aca="true" t="shared" si="4" ref="C25:Q25">SUM(C23:C24)</f>
        <v>0</v>
      </c>
      <c r="D25" s="251">
        <f t="shared" si="4"/>
        <v>0</v>
      </c>
      <c r="E25" s="251">
        <f t="shared" si="4"/>
        <v>0</v>
      </c>
      <c r="F25" s="251">
        <f t="shared" si="4"/>
        <v>0</v>
      </c>
      <c r="G25" s="251">
        <f t="shared" si="4"/>
        <v>0</v>
      </c>
      <c r="H25" s="251">
        <f t="shared" si="4"/>
        <v>0</v>
      </c>
      <c r="I25" s="251">
        <f t="shared" si="4"/>
        <v>0</v>
      </c>
      <c r="J25" s="251">
        <f t="shared" si="4"/>
        <v>0</v>
      </c>
      <c r="K25" s="251">
        <f t="shared" si="4"/>
        <v>0</v>
      </c>
      <c r="L25" s="251">
        <f t="shared" si="4"/>
        <v>0</v>
      </c>
      <c r="M25" s="251">
        <f t="shared" si="4"/>
        <v>0</v>
      </c>
      <c r="N25" s="251">
        <f t="shared" si="4"/>
        <v>0</v>
      </c>
      <c r="O25" s="251">
        <f t="shared" si="4"/>
        <v>0</v>
      </c>
      <c r="P25" s="251">
        <f t="shared" si="4"/>
        <v>0</v>
      </c>
      <c r="Q25" s="251">
        <f t="shared" si="4"/>
        <v>0</v>
      </c>
    </row>
    <row r="26" spans="1:17" s="38" customFormat="1" ht="19.5" customHeight="1">
      <c r="A26" s="262" t="s">
        <v>19</v>
      </c>
      <c r="B26" s="255">
        <f>0</f>
        <v>0</v>
      </c>
      <c r="C26" s="255">
        <v>0</v>
      </c>
      <c r="D26" s="255">
        <f>0</f>
        <v>0</v>
      </c>
      <c r="E26" s="255">
        <f>0</f>
        <v>0</v>
      </c>
      <c r="F26" s="255">
        <f>0</f>
        <v>0</v>
      </c>
      <c r="G26" s="255">
        <v>0</v>
      </c>
      <c r="H26" s="255">
        <f>0</f>
        <v>0</v>
      </c>
      <c r="I26" s="255">
        <v>0</v>
      </c>
      <c r="J26" s="255">
        <f>0</f>
        <v>0</v>
      </c>
      <c r="K26" s="255">
        <f>0</f>
        <v>0</v>
      </c>
      <c r="L26" s="255">
        <v>0</v>
      </c>
      <c r="M26" s="255">
        <f>0</f>
        <v>0</v>
      </c>
      <c r="N26" s="255">
        <f>0</f>
        <v>0</v>
      </c>
      <c r="O26" s="255">
        <f>0</f>
        <v>0</v>
      </c>
      <c r="P26" s="255">
        <f>0</f>
        <v>0</v>
      </c>
      <c r="Q26" s="40">
        <f>SUM(B26:P26)</f>
        <v>0</v>
      </c>
    </row>
    <row r="27" spans="1:17" ht="19.5" customHeight="1">
      <c r="A27" s="256" t="s">
        <v>231</v>
      </c>
      <c r="B27" s="260"/>
      <c r="C27" s="251"/>
      <c r="D27" s="261"/>
      <c r="E27" s="247"/>
      <c r="F27" s="251"/>
      <c r="G27" s="251"/>
      <c r="H27" s="251"/>
      <c r="I27" s="263"/>
      <c r="J27" s="260"/>
      <c r="K27" s="257"/>
      <c r="L27" s="261"/>
      <c r="M27" s="248"/>
      <c r="N27" s="251"/>
      <c r="O27" s="39"/>
      <c r="P27" s="39"/>
      <c r="Q27" s="39"/>
    </row>
    <row r="28" spans="1:17" ht="19.5" customHeight="1">
      <c r="A28" s="253">
        <v>331700</v>
      </c>
      <c r="B28" s="251">
        <v>0</v>
      </c>
      <c r="C28" s="251">
        <v>0</v>
      </c>
      <c r="D28" s="251">
        <v>0</v>
      </c>
      <c r="E28" s="251">
        <v>0</v>
      </c>
      <c r="F28" s="251">
        <v>0</v>
      </c>
      <c r="G28" s="251">
        <v>0</v>
      </c>
      <c r="H28" s="251">
        <v>0</v>
      </c>
      <c r="I28" s="251">
        <v>0</v>
      </c>
      <c r="J28" s="251">
        <v>0</v>
      </c>
      <c r="K28" s="251">
        <v>0</v>
      </c>
      <c r="L28" s="251">
        <v>0</v>
      </c>
      <c r="M28" s="251">
        <v>0</v>
      </c>
      <c r="N28" s="251">
        <v>0</v>
      </c>
      <c r="O28" s="251">
        <v>0</v>
      </c>
      <c r="P28" s="251">
        <v>0</v>
      </c>
      <c r="Q28" s="39">
        <f>SUM(B28:P28)</f>
        <v>0</v>
      </c>
    </row>
    <row r="29" spans="1:17" ht="19.5" customHeight="1">
      <c r="A29" s="253" t="s">
        <v>18</v>
      </c>
      <c r="B29" s="251">
        <f aca="true" t="shared" si="5" ref="B29:P29">SUM(B28:B28)</f>
        <v>0</v>
      </c>
      <c r="C29" s="251">
        <f t="shared" si="5"/>
        <v>0</v>
      </c>
      <c r="D29" s="251">
        <f t="shared" si="5"/>
        <v>0</v>
      </c>
      <c r="E29" s="251">
        <f t="shared" si="5"/>
        <v>0</v>
      </c>
      <c r="F29" s="251">
        <f t="shared" si="5"/>
        <v>0</v>
      </c>
      <c r="G29" s="251">
        <f t="shared" si="5"/>
        <v>0</v>
      </c>
      <c r="H29" s="251">
        <f t="shared" si="5"/>
        <v>0</v>
      </c>
      <c r="I29" s="251">
        <f t="shared" si="5"/>
        <v>0</v>
      </c>
      <c r="J29" s="251">
        <f t="shared" si="5"/>
        <v>0</v>
      </c>
      <c r="K29" s="251">
        <f t="shared" si="5"/>
        <v>0</v>
      </c>
      <c r="L29" s="251">
        <f t="shared" si="5"/>
        <v>0</v>
      </c>
      <c r="M29" s="251">
        <f t="shared" si="5"/>
        <v>0</v>
      </c>
      <c r="N29" s="251">
        <f t="shared" si="5"/>
        <v>0</v>
      </c>
      <c r="O29" s="251">
        <f t="shared" si="5"/>
        <v>0</v>
      </c>
      <c r="P29" s="251">
        <f t="shared" si="5"/>
        <v>0</v>
      </c>
      <c r="Q29" s="39">
        <f>SUM(B29:P29)</f>
        <v>0</v>
      </c>
    </row>
    <row r="30" spans="1:17" s="38" customFormat="1" ht="19.5" customHeight="1">
      <c r="A30" s="254" t="s">
        <v>19</v>
      </c>
      <c r="B30" s="255">
        <f>0</f>
        <v>0</v>
      </c>
      <c r="C30" s="255">
        <v>0</v>
      </c>
      <c r="D30" s="255">
        <v>0</v>
      </c>
      <c r="E30" s="255">
        <f>0</f>
        <v>0</v>
      </c>
      <c r="F30" s="255">
        <f>0</f>
        <v>0</v>
      </c>
      <c r="G30" s="255">
        <v>0</v>
      </c>
      <c r="H30" s="255">
        <f>0</f>
        <v>0</v>
      </c>
      <c r="I30" s="255">
        <f>0</f>
        <v>0</v>
      </c>
      <c r="J30" s="255">
        <f>0</f>
        <v>0</v>
      </c>
      <c r="K30" s="255">
        <v>0</v>
      </c>
      <c r="L30" s="255">
        <v>0</v>
      </c>
      <c r="M30" s="255">
        <f>0</f>
        <v>0</v>
      </c>
      <c r="N30" s="255">
        <f>0</f>
        <v>0</v>
      </c>
      <c r="O30" s="255">
        <f>0</f>
        <v>0</v>
      </c>
      <c r="P30" s="255">
        <f>0</f>
        <v>0</v>
      </c>
      <c r="Q30" s="40">
        <f>SUM(B30:P30)</f>
        <v>0</v>
      </c>
    </row>
    <row r="31" spans="1:17" s="38" customFormat="1" ht="19.5" customHeight="1">
      <c r="A31" s="264"/>
      <c r="B31" s="265"/>
      <c r="C31" s="265"/>
      <c r="D31" s="566" t="s">
        <v>7</v>
      </c>
      <c r="E31" s="566"/>
      <c r="F31" s="566"/>
      <c r="G31" s="566"/>
      <c r="H31" s="87"/>
      <c r="I31" s="87"/>
      <c r="J31" s="87"/>
      <c r="K31" s="566" t="s">
        <v>98</v>
      </c>
      <c r="L31" s="566"/>
      <c r="M31" s="566"/>
      <c r="N31" s="265"/>
      <c r="O31" s="265"/>
      <c r="P31" s="265"/>
      <c r="Q31" s="266"/>
    </row>
    <row r="32" spans="1:17" s="38" customFormat="1" ht="19.5" customHeight="1">
      <c r="A32" s="56"/>
      <c r="B32" s="54"/>
      <c r="C32" s="54"/>
      <c r="D32" s="112"/>
      <c r="E32" s="112"/>
      <c r="F32" s="112"/>
      <c r="G32" s="112"/>
      <c r="H32" s="87"/>
      <c r="I32" s="87"/>
      <c r="J32" s="87"/>
      <c r="K32" s="112"/>
      <c r="L32" s="112"/>
      <c r="M32" s="112"/>
      <c r="N32" s="54"/>
      <c r="O32" s="54"/>
      <c r="P32" s="54"/>
      <c r="Q32" s="55"/>
    </row>
    <row r="33" spans="1:17" s="38" customFormat="1" ht="19.5" customHeight="1">
      <c r="A33" s="264"/>
      <c r="B33" s="265"/>
      <c r="C33" s="265"/>
      <c r="D33" s="560" t="s">
        <v>117</v>
      </c>
      <c r="E33" s="560"/>
      <c r="F33" s="560"/>
      <c r="G33" s="560"/>
      <c r="H33" s="87"/>
      <c r="I33" s="87"/>
      <c r="J33" s="87"/>
      <c r="K33" s="560" t="s">
        <v>99</v>
      </c>
      <c r="L33" s="560"/>
      <c r="M33" s="560"/>
      <c r="N33" s="265"/>
      <c r="O33" s="265"/>
      <c r="P33" s="265"/>
      <c r="Q33" s="266"/>
    </row>
    <row r="34" spans="1:17" s="38" customFormat="1" ht="19.5" customHeight="1">
      <c r="A34" s="264"/>
      <c r="B34" s="265"/>
      <c r="C34" s="265"/>
      <c r="D34" s="560" t="s">
        <v>108</v>
      </c>
      <c r="E34" s="560"/>
      <c r="F34" s="560"/>
      <c r="G34" s="560"/>
      <c r="H34" s="87"/>
      <c r="I34" s="87"/>
      <c r="J34" s="87"/>
      <c r="K34" s="560" t="s">
        <v>279</v>
      </c>
      <c r="L34" s="560"/>
      <c r="M34" s="560"/>
      <c r="N34" s="265"/>
      <c r="O34" s="265"/>
      <c r="P34" s="265"/>
      <c r="Q34" s="266"/>
    </row>
    <row r="35" spans="1:17" s="38" customFormat="1" ht="19.5" customHeight="1">
      <c r="A35" s="264"/>
      <c r="B35" s="265"/>
      <c r="C35" s="265"/>
      <c r="D35" s="112"/>
      <c r="E35" s="112"/>
      <c r="F35" s="112"/>
      <c r="G35" s="112"/>
      <c r="H35" s="87"/>
      <c r="I35" s="87"/>
      <c r="J35" s="87"/>
      <c r="K35" s="560" t="s">
        <v>97</v>
      </c>
      <c r="L35" s="560"/>
      <c r="M35" s="560"/>
      <c r="N35" s="265"/>
      <c r="O35" s="265"/>
      <c r="P35" s="265"/>
      <c r="Q35" s="266"/>
    </row>
    <row r="36" spans="1:17" ht="19.5" customHeight="1" thickBot="1">
      <c r="A36" s="562" t="s">
        <v>20</v>
      </c>
      <c r="B36" s="562"/>
      <c r="C36" s="562"/>
      <c r="D36" s="562"/>
      <c r="E36" s="562"/>
      <c r="F36" s="562"/>
      <c r="G36" s="562"/>
      <c r="H36" s="562"/>
      <c r="I36" s="562"/>
      <c r="J36" s="562"/>
      <c r="K36" s="562"/>
      <c r="L36" s="562"/>
      <c r="M36" s="562"/>
      <c r="N36" s="562"/>
      <c r="O36" s="562"/>
      <c r="P36" s="562"/>
      <c r="Q36" s="562"/>
    </row>
    <row r="37" spans="1:17" s="348" customFormat="1" ht="19.5" customHeight="1">
      <c r="A37" s="343" t="s">
        <v>15</v>
      </c>
      <c r="B37" s="344" t="s">
        <v>77</v>
      </c>
      <c r="C37" s="563" t="s">
        <v>79</v>
      </c>
      <c r="D37" s="564"/>
      <c r="E37" s="563" t="s">
        <v>82</v>
      </c>
      <c r="F37" s="564"/>
      <c r="G37" s="563" t="s">
        <v>83</v>
      </c>
      <c r="H37" s="564"/>
      <c r="I37" s="563" t="s">
        <v>84</v>
      </c>
      <c r="J37" s="565"/>
      <c r="K37" s="563" t="s">
        <v>88</v>
      </c>
      <c r="L37" s="564"/>
      <c r="M37" s="344" t="s">
        <v>89</v>
      </c>
      <c r="N37" s="345" t="s">
        <v>92</v>
      </c>
      <c r="O37" s="346" t="s">
        <v>93</v>
      </c>
      <c r="P37" s="346" t="s">
        <v>96</v>
      </c>
      <c r="Q37" s="347" t="s">
        <v>16</v>
      </c>
    </row>
    <row r="38" spans="1:17" s="348" customFormat="1" ht="19.5" customHeight="1" thickBot="1">
      <c r="A38" s="349" t="s">
        <v>17</v>
      </c>
      <c r="B38" s="350" t="s">
        <v>78</v>
      </c>
      <c r="C38" s="351" t="s">
        <v>80</v>
      </c>
      <c r="D38" s="352" t="s">
        <v>81</v>
      </c>
      <c r="E38" s="350" t="s">
        <v>73</v>
      </c>
      <c r="F38" s="350" t="s">
        <v>74</v>
      </c>
      <c r="G38" s="350" t="s">
        <v>75</v>
      </c>
      <c r="H38" s="350" t="s">
        <v>76</v>
      </c>
      <c r="I38" s="352" t="s">
        <v>85</v>
      </c>
      <c r="J38" s="353" t="s">
        <v>86</v>
      </c>
      <c r="K38" s="351" t="s">
        <v>107</v>
      </c>
      <c r="L38" s="351" t="s">
        <v>106</v>
      </c>
      <c r="M38" s="351" t="s">
        <v>90</v>
      </c>
      <c r="N38" s="354" t="s">
        <v>91</v>
      </c>
      <c r="O38" s="355" t="s">
        <v>94</v>
      </c>
      <c r="P38" s="355" t="s">
        <v>95</v>
      </c>
      <c r="Q38" s="356"/>
    </row>
    <row r="39" spans="1:17" ht="19.5" customHeight="1">
      <c r="A39" s="256" t="s">
        <v>240</v>
      </c>
      <c r="B39" s="39"/>
      <c r="C39" s="251"/>
      <c r="D39" s="252"/>
      <c r="E39" s="39"/>
      <c r="F39" s="39"/>
      <c r="G39" s="39"/>
      <c r="H39" s="39"/>
      <c r="I39" s="39"/>
      <c r="J39" s="39"/>
      <c r="K39" s="252"/>
      <c r="L39" s="252"/>
      <c r="M39" s="39"/>
      <c r="N39" s="251"/>
      <c r="O39" s="39"/>
      <c r="P39" s="39"/>
      <c r="Q39" s="39"/>
    </row>
    <row r="40" spans="1:17" ht="19.5" customHeight="1">
      <c r="A40" s="253">
        <v>340100</v>
      </c>
      <c r="B40" s="251">
        <v>0</v>
      </c>
      <c r="C40" s="251">
        <v>0</v>
      </c>
      <c r="D40" s="251">
        <v>0</v>
      </c>
      <c r="E40" s="251">
        <v>0</v>
      </c>
      <c r="F40" s="251">
        <v>0</v>
      </c>
      <c r="G40" s="251">
        <v>0</v>
      </c>
      <c r="H40" s="251">
        <v>0</v>
      </c>
      <c r="I40" s="251">
        <v>0</v>
      </c>
      <c r="J40" s="251">
        <v>0</v>
      </c>
      <c r="K40" s="251">
        <v>0</v>
      </c>
      <c r="L40" s="251">
        <v>0</v>
      </c>
      <c r="M40" s="251">
        <v>0</v>
      </c>
      <c r="N40" s="251">
        <v>0</v>
      </c>
      <c r="O40" s="251">
        <v>0</v>
      </c>
      <c r="P40" s="251">
        <v>0</v>
      </c>
      <c r="Q40" s="39">
        <f>SUM(B40:P40)</f>
        <v>0</v>
      </c>
    </row>
    <row r="41" spans="1:17" ht="19.5" customHeight="1">
      <c r="A41" s="253" t="s">
        <v>18</v>
      </c>
      <c r="B41" s="39">
        <f aca="true" t="shared" si="6" ref="B41:K41">SUM(B40:B40)</f>
        <v>0</v>
      </c>
      <c r="C41" s="39">
        <f t="shared" si="6"/>
        <v>0</v>
      </c>
      <c r="D41" s="39">
        <f t="shared" si="6"/>
        <v>0</v>
      </c>
      <c r="E41" s="39">
        <f t="shared" si="6"/>
        <v>0</v>
      </c>
      <c r="F41" s="39">
        <f t="shared" si="6"/>
        <v>0</v>
      </c>
      <c r="G41" s="39">
        <f t="shared" si="6"/>
        <v>0</v>
      </c>
      <c r="H41" s="39">
        <f t="shared" si="6"/>
        <v>0</v>
      </c>
      <c r="I41" s="39">
        <f t="shared" si="6"/>
        <v>0</v>
      </c>
      <c r="J41" s="39">
        <f t="shared" si="6"/>
        <v>0</v>
      </c>
      <c r="K41" s="39">
        <f t="shared" si="6"/>
        <v>0</v>
      </c>
      <c r="L41" s="39">
        <v>0</v>
      </c>
      <c r="M41" s="39">
        <f>SUM(M40:M40)</f>
        <v>0</v>
      </c>
      <c r="N41" s="39">
        <f>SUM(N40:N40)</f>
        <v>0</v>
      </c>
      <c r="O41" s="39">
        <f>SUM(O40:O40)</f>
        <v>0</v>
      </c>
      <c r="P41" s="39">
        <f>SUM(P40:P40)</f>
        <v>0</v>
      </c>
      <c r="Q41" s="39">
        <f>SUM(B41:P41)</f>
        <v>0</v>
      </c>
    </row>
    <row r="42" spans="1:17" s="38" customFormat="1" ht="19.5" customHeight="1">
      <c r="A42" s="254" t="s">
        <v>19</v>
      </c>
      <c r="B42" s="255">
        <f>0</f>
        <v>0</v>
      </c>
      <c r="C42" s="255">
        <v>0</v>
      </c>
      <c r="D42" s="255">
        <f>0</f>
        <v>0</v>
      </c>
      <c r="E42" s="255">
        <f>0</f>
        <v>0</v>
      </c>
      <c r="F42" s="255">
        <f>0</f>
        <v>0</v>
      </c>
      <c r="G42" s="255">
        <f>0</f>
        <v>0</v>
      </c>
      <c r="H42" s="255">
        <f>0</f>
        <v>0</v>
      </c>
      <c r="I42" s="255">
        <f>0</f>
        <v>0</v>
      </c>
      <c r="J42" s="255">
        <f>0</f>
        <v>0</v>
      </c>
      <c r="K42" s="255">
        <f>0</f>
        <v>0</v>
      </c>
      <c r="L42" s="255">
        <v>0</v>
      </c>
      <c r="M42" s="255">
        <v>0</v>
      </c>
      <c r="N42" s="255">
        <f>0</f>
        <v>0</v>
      </c>
      <c r="O42" s="255">
        <f>0</f>
        <v>0</v>
      </c>
      <c r="P42" s="255">
        <f>0</f>
        <v>0</v>
      </c>
      <c r="Q42" s="40">
        <f>SUM(B42:P42)</f>
        <v>0</v>
      </c>
    </row>
    <row r="43" spans="1:17" ht="19.5" customHeight="1">
      <c r="A43" s="256" t="s">
        <v>232</v>
      </c>
      <c r="B43" s="39"/>
      <c r="C43" s="251"/>
      <c r="D43" s="252"/>
      <c r="E43" s="39"/>
      <c r="F43" s="39"/>
      <c r="G43" s="39"/>
      <c r="H43" s="39"/>
      <c r="I43" s="39"/>
      <c r="J43" s="39"/>
      <c r="K43" s="252"/>
      <c r="L43" s="252"/>
      <c r="M43" s="39"/>
      <c r="N43" s="251"/>
      <c r="O43" s="39"/>
      <c r="P43" s="39"/>
      <c r="Q43" s="39"/>
    </row>
    <row r="44" spans="1:17" ht="19.5" customHeight="1">
      <c r="A44" s="253">
        <v>410100</v>
      </c>
      <c r="B44" s="251">
        <v>0</v>
      </c>
      <c r="C44" s="251">
        <v>0</v>
      </c>
      <c r="D44" s="251">
        <v>0</v>
      </c>
      <c r="E44" s="251">
        <v>0</v>
      </c>
      <c r="F44" s="251">
        <v>0</v>
      </c>
      <c r="G44" s="251">
        <v>0</v>
      </c>
      <c r="H44" s="251">
        <v>0</v>
      </c>
      <c r="I44" s="251">
        <v>0</v>
      </c>
      <c r="J44" s="251">
        <v>0</v>
      </c>
      <c r="K44" s="251">
        <v>0</v>
      </c>
      <c r="L44" s="251">
        <v>0</v>
      </c>
      <c r="M44" s="251">
        <v>0</v>
      </c>
      <c r="N44" s="251">
        <v>0</v>
      </c>
      <c r="O44" s="251">
        <v>0</v>
      </c>
      <c r="P44" s="251">
        <v>0</v>
      </c>
      <c r="Q44" s="39">
        <f>SUM(B44:P44)</f>
        <v>0</v>
      </c>
    </row>
    <row r="45" spans="1:17" ht="19.5" customHeight="1">
      <c r="A45" s="253" t="s">
        <v>18</v>
      </c>
      <c r="B45" s="39">
        <f aca="true" t="shared" si="7" ref="B45:P45">SUM(B44)</f>
        <v>0</v>
      </c>
      <c r="C45" s="39">
        <f t="shared" si="7"/>
        <v>0</v>
      </c>
      <c r="D45" s="39">
        <f t="shared" si="7"/>
        <v>0</v>
      </c>
      <c r="E45" s="39">
        <f t="shared" si="7"/>
        <v>0</v>
      </c>
      <c r="F45" s="39">
        <f t="shared" si="7"/>
        <v>0</v>
      </c>
      <c r="G45" s="39">
        <f t="shared" si="7"/>
        <v>0</v>
      </c>
      <c r="H45" s="39">
        <f t="shared" si="7"/>
        <v>0</v>
      </c>
      <c r="I45" s="39">
        <f t="shared" si="7"/>
        <v>0</v>
      </c>
      <c r="J45" s="39">
        <f t="shared" si="7"/>
        <v>0</v>
      </c>
      <c r="K45" s="39">
        <f t="shared" si="7"/>
        <v>0</v>
      </c>
      <c r="L45" s="39">
        <f t="shared" si="7"/>
        <v>0</v>
      </c>
      <c r="M45" s="39">
        <f t="shared" si="7"/>
        <v>0</v>
      </c>
      <c r="N45" s="39">
        <f t="shared" si="7"/>
        <v>0</v>
      </c>
      <c r="O45" s="39">
        <f t="shared" si="7"/>
        <v>0</v>
      </c>
      <c r="P45" s="39">
        <f t="shared" si="7"/>
        <v>0</v>
      </c>
      <c r="Q45" s="39">
        <f>SUM(B45:P45)</f>
        <v>0</v>
      </c>
    </row>
    <row r="46" spans="1:17" s="38" customFormat="1" ht="19.5" customHeight="1">
      <c r="A46" s="254" t="s">
        <v>19</v>
      </c>
      <c r="B46" s="255">
        <f>0</f>
        <v>0</v>
      </c>
      <c r="C46" s="255">
        <v>0</v>
      </c>
      <c r="D46" s="255">
        <f>0</f>
        <v>0</v>
      </c>
      <c r="E46" s="255">
        <f>0</f>
        <v>0</v>
      </c>
      <c r="F46" s="255">
        <f>0</f>
        <v>0</v>
      </c>
      <c r="G46" s="255">
        <f>0</f>
        <v>0</v>
      </c>
      <c r="H46" s="255">
        <f>0</f>
        <v>0</v>
      </c>
      <c r="I46" s="255">
        <v>0</v>
      </c>
      <c r="J46" s="255">
        <v>0</v>
      </c>
      <c r="K46" s="255">
        <f>0</f>
        <v>0</v>
      </c>
      <c r="L46" s="255">
        <v>0</v>
      </c>
      <c r="M46" s="255">
        <f>0</f>
        <v>0</v>
      </c>
      <c r="N46" s="255">
        <f>0</f>
        <v>0</v>
      </c>
      <c r="O46" s="255">
        <f>0</f>
        <v>0</v>
      </c>
      <c r="P46" s="255">
        <f>0</f>
        <v>0</v>
      </c>
      <c r="Q46" s="40">
        <f>SUM(B46:P46)</f>
        <v>0</v>
      </c>
    </row>
    <row r="47" spans="1:17" ht="19.5" customHeight="1">
      <c r="A47" s="256" t="s">
        <v>233</v>
      </c>
      <c r="B47" s="39"/>
      <c r="C47" s="251"/>
      <c r="D47" s="252"/>
      <c r="E47" s="39"/>
      <c r="F47" s="39"/>
      <c r="G47" s="39"/>
      <c r="H47" s="39"/>
      <c r="I47" s="39"/>
      <c r="J47" s="39"/>
      <c r="K47" s="252"/>
      <c r="L47" s="252"/>
      <c r="M47" s="39"/>
      <c r="N47" s="251"/>
      <c r="O47" s="39"/>
      <c r="P47" s="39"/>
      <c r="Q47" s="39"/>
    </row>
    <row r="48" spans="1:17" ht="19.5" customHeight="1">
      <c r="A48" s="267">
        <v>420900</v>
      </c>
      <c r="B48" s="39"/>
      <c r="C48" s="251">
        <v>0</v>
      </c>
      <c r="D48" s="252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252">
        <v>0</v>
      </c>
      <c r="L48" s="252">
        <v>0</v>
      </c>
      <c r="M48" s="39">
        <v>0</v>
      </c>
      <c r="N48" s="251">
        <v>0</v>
      </c>
      <c r="O48" s="39">
        <v>0</v>
      </c>
      <c r="P48" s="39">
        <v>0</v>
      </c>
      <c r="Q48" s="39">
        <f>SUM(B48:P48)</f>
        <v>0</v>
      </c>
    </row>
    <row r="49" spans="1:17" ht="19.5" customHeight="1">
      <c r="A49" s="253" t="s">
        <v>18</v>
      </c>
      <c r="B49" s="39">
        <f aca="true" t="shared" si="8" ref="B49:P49">SUM(B48:B48)</f>
        <v>0</v>
      </c>
      <c r="C49" s="39">
        <f t="shared" si="8"/>
        <v>0</v>
      </c>
      <c r="D49" s="39">
        <f t="shared" si="8"/>
        <v>0</v>
      </c>
      <c r="E49" s="39">
        <f t="shared" si="8"/>
        <v>0</v>
      </c>
      <c r="F49" s="39">
        <f t="shared" si="8"/>
        <v>0</v>
      </c>
      <c r="G49" s="39">
        <f t="shared" si="8"/>
        <v>0</v>
      </c>
      <c r="H49" s="39">
        <f t="shared" si="8"/>
        <v>0</v>
      </c>
      <c r="I49" s="39">
        <f t="shared" si="8"/>
        <v>0</v>
      </c>
      <c r="J49" s="39">
        <f t="shared" si="8"/>
        <v>0</v>
      </c>
      <c r="K49" s="39">
        <f t="shared" si="8"/>
        <v>0</v>
      </c>
      <c r="L49" s="39">
        <f t="shared" si="8"/>
        <v>0</v>
      </c>
      <c r="M49" s="39">
        <f t="shared" si="8"/>
        <v>0</v>
      </c>
      <c r="N49" s="39">
        <f t="shared" si="8"/>
        <v>0</v>
      </c>
      <c r="O49" s="39">
        <f t="shared" si="8"/>
        <v>0</v>
      </c>
      <c r="P49" s="39">
        <f t="shared" si="8"/>
        <v>0</v>
      </c>
      <c r="Q49" s="39">
        <f>SUM(B49:P49)</f>
        <v>0</v>
      </c>
    </row>
    <row r="50" spans="1:17" s="38" customFormat="1" ht="19.5" customHeight="1">
      <c r="A50" s="254" t="s">
        <v>19</v>
      </c>
      <c r="B50" s="255">
        <f>0</f>
        <v>0</v>
      </c>
      <c r="C50" s="255">
        <v>0</v>
      </c>
      <c r="D50" s="255">
        <v>0</v>
      </c>
      <c r="E50" s="255">
        <f>0</f>
        <v>0</v>
      </c>
      <c r="F50" s="255">
        <f>0</f>
        <v>0</v>
      </c>
      <c r="G50" s="255">
        <f>0</f>
        <v>0</v>
      </c>
      <c r="H50" s="255">
        <f>0</f>
        <v>0</v>
      </c>
      <c r="I50" s="255">
        <f>0</f>
        <v>0</v>
      </c>
      <c r="J50" s="255">
        <f>0</f>
        <v>0</v>
      </c>
      <c r="K50" s="255">
        <f>0</f>
        <v>0</v>
      </c>
      <c r="L50" s="255">
        <v>0</v>
      </c>
      <c r="M50" s="255">
        <f>0</f>
        <v>0</v>
      </c>
      <c r="N50" s="255">
        <f>0</f>
        <v>0</v>
      </c>
      <c r="O50" s="255">
        <f>0</f>
        <v>0</v>
      </c>
      <c r="P50" s="255">
        <f>0</f>
        <v>0</v>
      </c>
      <c r="Q50" s="40">
        <f>SUM(B50:P50)</f>
        <v>0</v>
      </c>
    </row>
    <row r="51" spans="1:17" ht="19.5" customHeight="1">
      <c r="A51" s="256" t="s">
        <v>235</v>
      </c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39"/>
    </row>
    <row r="52" spans="1:17" ht="19.5" customHeight="1">
      <c r="A52" s="253">
        <v>510100</v>
      </c>
      <c r="B52" s="251">
        <v>0</v>
      </c>
      <c r="C52" s="251">
        <v>0</v>
      </c>
      <c r="D52" s="251">
        <v>0</v>
      </c>
      <c r="E52" s="251">
        <v>0</v>
      </c>
      <c r="F52" s="251">
        <v>0</v>
      </c>
      <c r="G52" s="251">
        <v>0</v>
      </c>
      <c r="H52" s="251">
        <v>0</v>
      </c>
      <c r="I52" s="251">
        <v>0</v>
      </c>
      <c r="J52" s="251">
        <v>0</v>
      </c>
      <c r="K52" s="251">
        <v>0</v>
      </c>
      <c r="L52" s="251">
        <v>0</v>
      </c>
      <c r="M52" s="251">
        <v>0</v>
      </c>
      <c r="N52" s="251">
        <v>0</v>
      </c>
      <c r="O52" s="251">
        <v>0</v>
      </c>
      <c r="P52" s="251">
        <v>0</v>
      </c>
      <c r="Q52" s="39">
        <f>SUM(B52:P52)</f>
        <v>0</v>
      </c>
    </row>
    <row r="53" spans="1:17" ht="19.5" customHeight="1">
      <c r="A53" s="253" t="s">
        <v>18</v>
      </c>
      <c r="B53" s="251">
        <f aca="true" t="shared" si="9" ref="B53:P53">SUM(B52)</f>
        <v>0</v>
      </c>
      <c r="C53" s="251">
        <f t="shared" si="9"/>
        <v>0</v>
      </c>
      <c r="D53" s="251">
        <f t="shared" si="9"/>
        <v>0</v>
      </c>
      <c r="E53" s="251">
        <f t="shared" si="9"/>
        <v>0</v>
      </c>
      <c r="F53" s="251">
        <f t="shared" si="9"/>
        <v>0</v>
      </c>
      <c r="G53" s="251">
        <f t="shared" si="9"/>
        <v>0</v>
      </c>
      <c r="H53" s="251">
        <f t="shared" si="9"/>
        <v>0</v>
      </c>
      <c r="I53" s="251">
        <f t="shared" si="9"/>
        <v>0</v>
      </c>
      <c r="J53" s="251">
        <f t="shared" si="9"/>
        <v>0</v>
      </c>
      <c r="K53" s="251">
        <f t="shared" si="9"/>
        <v>0</v>
      </c>
      <c r="L53" s="251">
        <f t="shared" si="9"/>
        <v>0</v>
      </c>
      <c r="M53" s="251">
        <f t="shared" si="9"/>
        <v>0</v>
      </c>
      <c r="N53" s="251">
        <f t="shared" si="9"/>
        <v>0</v>
      </c>
      <c r="O53" s="251">
        <f t="shared" si="9"/>
        <v>0</v>
      </c>
      <c r="P53" s="251">
        <f t="shared" si="9"/>
        <v>0</v>
      </c>
      <c r="Q53" s="39">
        <f>SUM(B53:P53)</f>
        <v>0</v>
      </c>
    </row>
    <row r="54" spans="1:17" s="38" customFormat="1" ht="19.5" customHeight="1">
      <c r="A54" s="254" t="s">
        <v>19</v>
      </c>
      <c r="B54" s="255">
        <f>0</f>
        <v>0</v>
      </c>
      <c r="C54" s="255">
        <f>0</f>
        <v>0</v>
      </c>
      <c r="D54" s="255">
        <f>0</f>
        <v>0</v>
      </c>
      <c r="E54" s="255">
        <f>0</f>
        <v>0</v>
      </c>
      <c r="F54" s="255">
        <v>0</v>
      </c>
      <c r="G54" s="255">
        <f>0</f>
        <v>0</v>
      </c>
      <c r="H54" s="255">
        <f>0</f>
        <v>0</v>
      </c>
      <c r="I54" s="255">
        <f>0</f>
        <v>0</v>
      </c>
      <c r="J54" s="255">
        <v>0</v>
      </c>
      <c r="K54" s="255">
        <f>0</f>
        <v>0</v>
      </c>
      <c r="L54" s="255">
        <v>0</v>
      </c>
      <c r="M54" s="255">
        <f>0</f>
        <v>0</v>
      </c>
      <c r="N54" s="255"/>
      <c r="O54" s="255">
        <f>0</f>
        <v>0</v>
      </c>
      <c r="P54" s="255">
        <f>0</f>
        <v>0</v>
      </c>
      <c r="Q54" s="40">
        <f>SUM(B54:P54)</f>
        <v>0</v>
      </c>
    </row>
    <row r="55" spans="1:17" ht="19.5" customHeight="1">
      <c r="A55" s="256" t="s">
        <v>234</v>
      </c>
      <c r="B55" s="39"/>
      <c r="C55" s="251"/>
      <c r="D55" s="252"/>
      <c r="E55" s="39"/>
      <c r="F55" s="39"/>
      <c r="G55" s="39"/>
      <c r="H55" s="39"/>
      <c r="I55" s="39"/>
      <c r="J55" s="39"/>
      <c r="K55" s="252"/>
      <c r="L55" s="252"/>
      <c r="M55" s="39"/>
      <c r="N55" s="251"/>
      <c r="O55" s="39"/>
      <c r="P55" s="39"/>
      <c r="Q55" s="39"/>
    </row>
    <row r="56" spans="1:17" ht="19.5" customHeight="1">
      <c r="A56" s="253">
        <v>610100</v>
      </c>
      <c r="B56" s="251">
        <v>0</v>
      </c>
      <c r="C56" s="251">
        <v>0</v>
      </c>
      <c r="D56" s="251">
        <v>0</v>
      </c>
      <c r="E56" s="251">
        <v>0</v>
      </c>
      <c r="F56" s="251">
        <v>0</v>
      </c>
      <c r="G56" s="251">
        <v>0</v>
      </c>
      <c r="H56" s="251">
        <v>0</v>
      </c>
      <c r="I56" s="251">
        <v>0</v>
      </c>
      <c r="J56" s="251">
        <v>0</v>
      </c>
      <c r="K56" s="251">
        <v>0</v>
      </c>
      <c r="L56" s="251">
        <v>0</v>
      </c>
      <c r="M56" s="251">
        <v>0</v>
      </c>
      <c r="N56" s="251">
        <v>0</v>
      </c>
      <c r="O56" s="251">
        <v>0</v>
      </c>
      <c r="P56" s="251">
        <v>0</v>
      </c>
      <c r="Q56" s="39">
        <f>SUM(B56:P56)</f>
        <v>0</v>
      </c>
    </row>
    <row r="57" spans="1:17" ht="19.5" customHeight="1">
      <c r="A57" s="253" t="s">
        <v>18</v>
      </c>
      <c r="B57" s="39">
        <f aca="true" t="shared" si="10" ref="B57:P57">SUM(B56:B56)</f>
        <v>0</v>
      </c>
      <c r="C57" s="39">
        <f t="shared" si="10"/>
        <v>0</v>
      </c>
      <c r="D57" s="39">
        <f t="shared" si="10"/>
        <v>0</v>
      </c>
      <c r="E57" s="39">
        <f t="shared" si="10"/>
        <v>0</v>
      </c>
      <c r="F57" s="39">
        <f t="shared" si="10"/>
        <v>0</v>
      </c>
      <c r="G57" s="39">
        <f t="shared" si="10"/>
        <v>0</v>
      </c>
      <c r="H57" s="39">
        <f t="shared" si="10"/>
        <v>0</v>
      </c>
      <c r="I57" s="39">
        <f t="shared" si="10"/>
        <v>0</v>
      </c>
      <c r="J57" s="39">
        <f t="shared" si="10"/>
        <v>0</v>
      </c>
      <c r="K57" s="39">
        <f t="shared" si="10"/>
        <v>0</v>
      </c>
      <c r="L57" s="39">
        <f t="shared" si="10"/>
        <v>0</v>
      </c>
      <c r="M57" s="39">
        <f t="shared" si="10"/>
        <v>0</v>
      </c>
      <c r="N57" s="39">
        <f t="shared" si="10"/>
        <v>0</v>
      </c>
      <c r="O57" s="39">
        <f t="shared" si="10"/>
        <v>0</v>
      </c>
      <c r="P57" s="39">
        <f t="shared" si="10"/>
        <v>0</v>
      </c>
      <c r="Q57" s="39">
        <f>SUM(B57:P57)</f>
        <v>0</v>
      </c>
    </row>
    <row r="58" spans="1:17" s="38" customFormat="1" ht="19.5" customHeight="1">
      <c r="A58" s="254" t="s">
        <v>19</v>
      </c>
      <c r="B58" s="255">
        <f>0</f>
        <v>0</v>
      </c>
      <c r="C58" s="255">
        <v>0</v>
      </c>
      <c r="D58" s="255">
        <f>0</f>
        <v>0</v>
      </c>
      <c r="E58" s="255">
        <f>0</f>
        <v>0</v>
      </c>
      <c r="F58" s="255">
        <f>0</f>
        <v>0</v>
      </c>
      <c r="G58" s="255">
        <f>0</f>
        <v>0</v>
      </c>
      <c r="H58" s="255">
        <f>0</f>
        <v>0</v>
      </c>
      <c r="I58" s="255">
        <f>0</f>
        <v>0</v>
      </c>
      <c r="J58" s="255">
        <f>0</f>
        <v>0</v>
      </c>
      <c r="K58" s="255">
        <f>0</f>
        <v>0</v>
      </c>
      <c r="L58" s="255">
        <v>0</v>
      </c>
      <c r="M58" s="255">
        <f>0</f>
        <v>0</v>
      </c>
      <c r="N58" s="255">
        <f>0</f>
        <v>0</v>
      </c>
      <c r="O58" s="255">
        <v>0</v>
      </c>
      <c r="P58" s="255">
        <f>0</f>
        <v>0</v>
      </c>
      <c r="Q58" s="40">
        <f>SUM(B58:P58)</f>
        <v>0</v>
      </c>
    </row>
    <row r="59" spans="1:17" ht="19.5" customHeight="1">
      <c r="A59" s="253" t="s">
        <v>70</v>
      </c>
      <c r="B59" s="39">
        <f>B8+B12+B16+B20+B25+B29+B41+B45+B49+B53+B57</f>
        <v>48000</v>
      </c>
      <c r="C59" s="39">
        <f aca="true" t="shared" si="11" ref="C59:P59">C8+C12+C16+C20+C25+C29+C41+C45+C49+C53+C57</f>
        <v>0</v>
      </c>
      <c r="D59" s="39">
        <f t="shared" si="11"/>
        <v>0</v>
      </c>
      <c r="E59" s="39">
        <f t="shared" si="11"/>
        <v>0</v>
      </c>
      <c r="F59" s="39">
        <f t="shared" si="11"/>
        <v>0</v>
      </c>
      <c r="G59" s="39">
        <f t="shared" si="11"/>
        <v>0</v>
      </c>
      <c r="H59" s="39">
        <f t="shared" si="11"/>
        <v>0</v>
      </c>
      <c r="I59" s="39">
        <f t="shared" si="11"/>
        <v>0</v>
      </c>
      <c r="J59" s="39">
        <f t="shared" si="11"/>
        <v>0</v>
      </c>
      <c r="K59" s="39">
        <f t="shared" si="11"/>
        <v>0</v>
      </c>
      <c r="L59" s="39">
        <f t="shared" si="11"/>
        <v>0</v>
      </c>
      <c r="M59" s="39">
        <f t="shared" si="11"/>
        <v>0</v>
      </c>
      <c r="N59" s="39">
        <f t="shared" si="11"/>
        <v>0</v>
      </c>
      <c r="O59" s="39">
        <f t="shared" si="11"/>
        <v>0</v>
      </c>
      <c r="P59" s="39">
        <f t="shared" si="11"/>
        <v>0</v>
      </c>
      <c r="Q59" s="39">
        <f>SUM(B59:P59)</f>
        <v>48000</v>
      </c>
    </row>
    <row r="60" spans="1:17" s="38" customFormat="1" ht="19.5" customHeight="1">
      <c r="A60" s="254" t="s">
        <v>101</v>
      </c>
      <c r="B60" s="40">
        <f>B9+B13+B17+B21+B26+B30+B42+B46+B50+B54+B58</f>
        <v>48000</v>
      </c>
      <c r="C60" s="40">
        <f aca="true" t="shared" si="12" ref="C60:P60">C9+C13+C17+C21+C26+C30+C42+C46+C50+C54+C58</f>
        <v>0</v>
      </c>
      <c r="D60" s="40">
        <f t="shared" si="12"/>
        <v>0</v>
      </c>
      <c r="E60" s="40">
        <f t="shared" si="12"/>
        <v>0</v>
      </c>
      <c r="F60" s="40">
        <f t="shared" si="12"/>
        <v>0</v>
      </c>
      <c r="G60" s="40">
        <f t="shared" si="12"/>
        <v>0</v>
      </c>
      <c r="H60" s="40">
        <v>0</v>
      </c>
      <c r="I60" s="40">
        <f t="shared" si="12"/>
        <v>0</v>
      </c>
      <c r="J60" s="40">
        <f t="shared" si="12"/>
        <v>0</v>
      </c>
      <c r="K60" s="40">
        <f t="shared" si="12"/>
        <v>0</v>
      </c>
      <c r="L60" s="40">
        <f t="shared" si="12"/>
        <v>0</v>
      </c>
      <c r="M60" s="40">
        <f t="shared" si="12"/>
        <v>0</v>
      </c>
      <c r="N60" s="40">
        <f t="shared" si="12"/>
        <v>0</v>
      </c>
      <c r="O60" s="40">
        <f t="shared" si="12"/>
        <v>0</v>
      </c>
      <c r="P60" s="40">
        <f t="shared" si="12"/>
        <v>0</v>
      </c>
      <c r="Q60" s="40">
        <f>SUM(B60:P60)</f>
        <v>48000</v>
      </c>
    </row>
    <row r="61" spans="1:17" s="38" customFormat="1" ht="19.5" customHeight="1">
      <c r="A61" s="268"/>
      <c r="B61" s="269"/>
      <c r="C61" s="269"/>
      <c r="D61" s="566" t="s">
        <v>7</v>
      </c>
      <c r="E61" s="566"/>
      <c r="F61" s="566"/>
      <c r="G61" s="566"/>
      <c r="H61" s="87"/>
      <c r="I61" s="87"/>
      <c r="J61" s="87"/>
      <c r="K61" s="566" t="s">
        <v>98</v>
      </c>
      <c r="L61" s="566"/>
      <c r="M61" s="566"/>
      <c r="N61" s="269"/>
      <c r="O61" s="269"/>
      <c r="P61" s="269"/>
      <c r="Q61" s="270"/>
    </row>
    <row r="62" spans="1:17" s="38" customFormat="1" ht="19.5" customHeight="1">
      <c r="A62" s="53"/>
      <c r="B62" s="54"/>
      <c r="C62" s="54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54"/>
      <c r="O62" s="54"/>
      <c r="P62" s="54"/>
      <c r="Q62" s="86"/>
    </row>
    <row r="63" spans="1:17" s="88" customFormat="1" ht="19.5" customHeight="1">
      <c r="A63" s="53"/>
      <c r="B63" s="54"/>
      <c r="C63" s="54"/>
      <c r="D63" s="560" t="s">
        <v>115</v>
      </c>
      <c r="E63" s="560"/>
      <c r="F63" s="560"/>
      <c r="G63" s="560"/>
      <c r="H63" s="87"/>
      <c r="I63" s="87"/>
      <c r="J63" s="87"/>
      <c r="K63" s="560" t="s">
        <v>99</v>
      </c>
      <c r="L63" s="560"/>
      <c r="M63" s="560"/>
      <c r="N63" s="54"/>
      <c r="O63" s="54"/>
      <c r="P63" s="54"/>
      <c r="Q63" s="86"/>
    </row>
    <row r="64" spans="1:17" ht="19.5" customHeight="1">
      <c r="A64" s="56"/>
      <c r="B64" s="34"/>
      <c r="C64" s="34"/>
      <c r="D64" s="560" t="s">
        <v>108</v>
      </c>
      <c r="E64" s="560"/>
      <c r="F64" s="560"/>
      <c r="G64" s="560"/>
      <c r="H64" s="87"/>
      <c r="I64" s="87"/>
      <c r="J64" s="87"/>
      <c r="K64" s="560" t="s">
        <v>279</v>
      </c>
      <c r="L64" s="560"/>
      <c r="M64" s="560"/>
      <c r="N64" s="34"/>
      <c r="O64" s="34"/>
      <c r="P64" s="34"/>
      <c r="Q64" s="35"/>
    </row>
    <row r="65" spans="11:13" ht="21.75">
      <c r="K65" s="560" t="s">
        <v>97</v>
      </c>
      <c r="L65" s="560"/>
      <c r="M65" s="560"/>
    </row>
  </sheetData>
  <mergeCells count="28">
    <mergeCell ref="K33:M33"/>
    <mergeCell ref="D61:G61"/>
    <mergeCell ref="K63:M63"/>
    <mergeCell ref="D63:G63"/>
    <mergeCell ref="K34:M34"/>
    <mergeCell ref="K35:M35"/>
    <mergeCell ref="K64:M64"/>
    <mergeCell ref="K61:M61"/>
    <mergeCell ref="E37:F37"/>
    <mergeCell ref="C37:D37"/>
    <mergeCell ref="I37:J37"/>
    <mergeCell ref="G37:H37"/>
    <mergeCell ref="K37:L37"/>
    <mergeCell ref="E4:F4"/>
    <mergeCell ref="D64:G64"/>
    <mergeCell ref="D33:G33"/>
    <mergeCell ref="D34:G34"/>
    <mergeCell ref="D31:G31"/>
    <mergeCell ref="K65:M65"/>
    <mergeCell ref="A1:Q1"/>
    <mergeCell ref="A2:Q2"/>
    <mergeCell ref="A3:Q3"/>
    <mergeCell ref="A36:Q36"/>
    <mergeCell ref="G4:H4"/>
    <mergeCell ref="I4:J4"/>
    <mergeCell ref="K31:M31"/>
    <mergeCell ref="K4:L4"/>
    <mergeCell ref="C4:D4"/>
  </mergeCells>
  <printOptions/>
  <pageMargins left="0.248031496" right="0.06496063" top="0" bottom="0" header="0.17" footer="0.17"/>
  <pageSetup horizontalDpi="180" verticalDpi="180" orientation="landscape" paperSize="9" scale="8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6"/>
  <sheetViews>
    <sheetView view="pageBreakPreview" zoomScaleNormal="90" zoomScaleSheetLayoutView="100" workbookViewId="0" topLeftCell="E34">
      <selection activeCell="E30" sqref="E30:G30"/>
    </sheetView>
  </sheetViews>
  <sheetFormatPr defaultColWidth="9.140625" defaultRowHeight="21.75"/>
  <cols>
    <col min="1" max="1" width="16.8515625" style="128" customWidth="1"/>
    <col min="2" max="3" width="10.28125" style="128" bestFit="1" customWidth="1"/>
    <col min="4" max="4" width="6.00390625" style="128" bestFit="1" customWidth="1"/>
    <col min="5" max="5" width="11.28125" style="128" bestFit="1" customWidth="1"/>
    <col min="6" max="6" width="11.421875" style="128" bestFit="1" customWidth="1"/>
    <col min="7" max="7" width="8.7109375" style="128" customWidth="1"/>
    <col min="8" max="8" width="9.7109375" style="128" customWidth="1"/>
    <col min="9" max="9" width="11.421875" style="128" bestFit="1" customWidth="1"/>
    <col min="10" max="10" width="13.00390625" style="128" bestFit="1" customWidth="1"/>
    <col min="11" max="11" width="8.00390625" style="128" customWidth="1"/>
    <col min="12" max="12" width="9.28125" style="128" customWidth="1"/>
    <col min="13" max="13" width="9.28125" style="128" bestFit="1" customWidth="1"/>
    <col min="14" max="14" width="11.7109375" style="128" customWidth="1"/>
    <col min="15" max="15" width="10.28125" style="128" bestFit="1" customWidth="1"/>
    <col min="16" max="16" width="12.8515625" style="128" bestFit="1" customWidth="1"/>
    <col min="17" max="16384" width="9.140625" style="128" customWidth="1"/>
  </cols>
  <sheetData>
    <row r="1" spans="1:16" ht="21" customHeight="1">
      <c r="A1" s="551" t="s">
        <v>13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</row>
    <row r="2" spans="1:16" ht="23.25" customHeight="1">
      <c r="A2" s="551" t="s">
        <v>105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</row>
    <row r="3" spans="1:16" ht="21.75" customHeight="1" thickBot="1">
      <c r="A3" s="552" t="s">
        <v>304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</row>
    <row r="4" spans="1:16" s="227" customFormat="1" ht="21" customHeight="1">
      <c r="A4" s="41" t="s">
        <v>15</v>
      </c>
      <c r="B4" s="569" t="s">
        <v>79</v>
      </c>
      <c r="C4" s="570"/>
      <c r="D4" s="569" t="s">
        <v>82</v>
      </c>
      <c r="E4" s="570"/>
      <c r="F4" s="42" t="s">
        <v>88</v>
      </c>
      <c r="G4" s="42" t="s">
        <v>89</v>
      </c>
      <c r="H4" s="43" t="s">
        <v>92</v>
      </c>
      <c r="I4" s="569" t="s">
        <v>83</v>
      </c>
      <c r="J4" s="570"/>
      <c r="K4" s="44" t="s">
        <v>93</v>
      </c>
      <c r="L4" s="569" t="s">
        <v>84</v>
      </c>
      <c r="M4" s="572"/>
      <c r="N4" s="44" t="s">
        <v>96</v>
      </c>
      <c r="O4" s="42" t="s">
        <v>77</v>
      </c>
      <c r="P4" s="51" t="s">
        <v>16</v>
      </c>
    </row>
    <row r="5" spans="1:16" s="227" customFormat="1" ht="21" customHeight="1" thickBot="1">
      <c r="A5" s="45" t="s">
        <v>17</v>
      </c>
      <c r="B5" s="47" t="s">
        <v>80</v>
      </c>
      <c r="C5" s="48" t="s">
        <v>81</v>
      </c>
      <c r="D5" s="46" t="s">
        <v>73</v>
      </c>
      <c r="E5" s="46" t="s">
        <v>74</v>
      </c>
      <c r="F5" s="47" t="s">
        <v>87</v>
      </c>
      <c r="G5" s="47" t="s">
        <v>90</v>
      </c>
      <c r="H5" s="49" t="s">
        <v>91</v>
      </c>
      <c r="I5" s="46" t="s">
        <v>75</v>
      </c>
      <c r="J5" s="46" t="s">
        <v>76</v>
      </c>
      <c r="K5" s="50" t="s">
        <v>94</v>
      </c>
      <c r="L5" s="48" t="s">
        <v>85</v>
      </c>
      <c r="M5" s="37" t="s">
        <v>86</v>
      </c>
      <c r="N5" s="50" t="s">
        <v>95</v>
      </c>
      <c r="O5" s="46" t="s">
        <v>78</v>
      </c>
      <c r="P5" s="222"/>
    </row>
    <row r="6" spans="1:16" ht="21" customHeight="1">
      <c r="A6" s="52" t="s">
        <v>206</v>
      </c>
      <c r="B6" s="25"/>
      <c r="C6" s="26"/>
      <c r="D6" s="25"/>
      <c r="E6" s="25"/>
      <c r="F6" s="26"/>
      <c r="G6" s="26"/>
      <c r="H6" s="27"/>
      <c r="I6" s="25"/>
      <c r="J6" s="25"/>
      <c r="K6" s="213"/>
      <c r="L6" s="25"/>
      <c r="M6" s="27"/>
      <c r="N6" s="213"/>
      <c r="O6" s="25"/>
      <c r="P6" s="213"/>
    </row>
    <row r="7" spans="1:16" ht="21" customHeight="1">
      <c r="A7" s="214" t="s">
        <v>202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15">
        <f>SUM(B7:O7)</f>
        <v>0</v>
      </c>
    </row>
    <row r="8" spans="1:16" ht="21" customHeight="1">
      <c r="A8" s="19" t="s">
        <v>18</v>
      </c>
      <c r="B8" s="28">
        <f aca="true" t="shared" si="0" ref="B8:O8">SUM(B7:B7)</f>
        <v>0</v>
      </c>
      <c r="C8" s="28">
        <f t="shared" si="0"/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  <c r="H8" s="28">
        <f t="shared" si="0"/>
        <v>0</v>
      </c>
      <c r="I8" s="28">
        <f t="shared" si="0"/>
        <v>0</v>
      </c>
      <c r="J8" s="28">
        <f t="shared" si="0"/>
        <v>0</v>
      </c>
      <c r="K8" s="28">
        <f t="shared" si="0"/>
        <v>0</v>
      </c>
      <c r="L8" s="28">
        <f t="shared" si="0"/>
        <v>0</v>
      </c>
      <c r="M8" s="28">
        <f t="shared" si="0"/>
        <v>0</v>
      </c>
      <c r="N8" s="28">
        <f t="shared" si="0"/>
        <v>0</v>
      </c>
      <c r="O8" s="28">
        <f t="shared" si="0"/>
        <v>0</v>
      </c>
      <c r="P8" s="215">
        <f>SUM(B8:O8)</f>
        <v>0</v>
      </c>
    </row>
    <row r="9" spans="1:16" ht="21" customHeight="1">
      <c r="A9" s="19" t="s">
        <v>19</v>
      </c>
      <c r="B9" s="28">
        <f>0</f>
        <v>0</v>
      </c>
      <c r="C9" s="28">
        <f>0</f>
        <v>0</v>
      </c>
      <c r="D9" s="28">
        <f>0</f>
        <v>0</v>
      </c>
      <c r="E9" s="28">
        <f>0</f>
        <v>0</v>
      </c>
      <c r="F9" s="28">
        <f>0</f>
        <v>0</v>
      </c>
      <c r="G9" s="28">
        <f>0</f>
        <v>0</v>
      </c>
      <c r="H9" s="28">
        <f>0</f>
        <v>0</v>
      </c>
      <c r="I9" s="28">
        <f>0</f>
        <v>0</v>
      </c>
      <c r="J9" s="28">
        <f>0</f>
        <v>0</v>
      </c>
      <c r="K9" s="28">
        <f>0</f>
        <v>0</v>
      </c>
      <c r="L9" s="28">
        <f>0</f>
        <v>0</v>
      </c>
      <c r="M9" s="28">
        <f>0</f>
        <v>0</v>
      </c>
      <c r="N9" s="28">
        <f>0</f>
        <v>0</v>
      </c>
      <c r="O9" s="28">
        <v>0</v>
      </c>
      <c r="P9" s="215">
        <f>SUM(B9:O9)</f>
        <v>0</v>
      </c>
    </row>
    <row r="10" spans="1:16" ht="21" customHeight="1">
      <c r="A10" s="20">
        <v>521000</v>
      </c>
      <c r="B10" s="29"/>
      <c r="C10" s="30"/>
      <c r="D10" s="29"/>
      <c r="E10" s="29"/>
      <c r="F10" s="30"/>
      <c r="G10" s="30"/>
      <c r="H10" s="29"/>
      <c r="I10" s="29"/>
      <c r="J10" s="29"/>
      <c r="K10" s="215"/>
      <c r="L10" s="29"/>
      <c r="M10" s="29"/>
      <c r="N10" s="215"/>
      <c r="O10" s="28"/>
      <c r="P10" s="215"/>
    </row>
    <row r="11" spans="1:16" ht="21" customHeight="1">
      <c r="A11" s="216">
        <v>210100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15">
        <f>SUM(B11:O11)</f>
        <v>0</v>
      </c>
    </row>
    <row r="12" spans="1:16" ht="21" customHeight="1">
      <c r="A12" s="19" t="s">
        <v>18</v>
      </c>
      <c r="B12" s="28">
        <f aca="true" t="shared" si="1" ref="B12:O12">SUM(B11:B11)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15">
        <f>SUM(B12:O12)</f>
        <v>0</v>
      </c>
    </row>
    <row r="13" spans="1:16" ht="21" customHeight="1">
      <c r="A13" s="19" t="s">
        <v>19</v>
      </c>
      <c r="B13" s="28">
        <v>0</v>
      </c>
      <c r="C13" s="28">
        <v>0</v>
      </c>
      <c r="D13" s="28">
        <f>0</f>
        <v>0</v>
      </c>
      <c r="E13" s="28">
        <f>0</f>
        <v>0</v>
      </c>
      <c r="F13" s="28">
        <f>0</f>
        <v>0</v>
      </c>
      <c r="G13" s="28">
        <f>0</f>
        <v>0</v>
      </c>
      <c r="H13" s="28">
        <f>0</f>
        <v>0</v>
      </c>
      <c r="I13" s="28">
        <v>0</v>
      </c>
      <c r="J13" s="28">
        <f>0</f>
        <v>0</v>
      </c>
      <c r="K13" s="28">
        <f>0</f>
        <v>0</v>
      </c>
      <c r="L13" s="28">
        <f>0</f>
        <v>0</v>
      </c>
      <c r="M13" s="28">
        <f>0</f>
        <v>0</v>
      </c>
      <c r="N13" s="28">
        <f>0</f>
        <v>0</v>
      </c>
      <c r="O13" s="28">
        <f>0</f>
        <v>0</v>
      </c>
      <c r="P13" s="215">
        <f>SUM(B13:O13)</f>
        <v>0</v>
      </c>
    </row>
    <row r="14" spans="1:16" ht="21" customHeight="1">
      <c r="A14" s="20">
        <v>522000</v>
      </c>
      <c r="B14" s="28"/>
      <c r="C14" s="31"/>
      <c r="D14" s="29"/>
      <c r="E14" s="29"/>
      <c r="F14" s="30"/>
      <c r="G14" s="30"/>
      <c r="H14" s="29"/>
      <c r="I14" s="29"/>
      <c r="J14" s="28"/>
      <c r="K14" s="215"/>
      <c r="L14" s="29"/>
      <c r="M14" s="29"/>
      <c r="N14" s="215"/>
      <c r="O14" s="28"/>
      <c r="P14" s="215"/>
    </row>
    <row r="15" spans="1:16" ht="21" customHeight="1">
      <c r="A15" s="216">
        <v>220100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15">
        <f>SUM(B15:O15)</f>
        <v>0</v>
      </c>
    </row>
    <row r="16" spans="1:16" ht="21" customHeight="1">
      <c r="A16" s="19" t="s">
        <v>18</v>
      </c>
      <c r="B16" s="28">
        <f aca="true" t="shared" si="2" ref="B16:O16">B15</f>
        <v>0</v>
      </c>
      <c r="C16" s="28">
        <f t="shared" si="2"/>
        <v>0</v>
      </c>
      <c r="D16" s="28">
        <f t="shared" si="2"/>
        <v>0</v>
      </c>
      <c r="E16" s="28">
        <f t="shared" si="2"/>
        <v>0</v>
      </c>
      <c r="F16" s="28">
        <f t="shared" si="2"/>
        <v>0</v>
      </c>
      <c r="G16" s="28">
        <f t="shared" si="2"/>
        <v>0</v>
      </c>
      <c r="H16" s="28">
        <f t="shared" si="2"/>
        <v>0</v>
      </c>
      <c r="I16" s="28">
        <f t="shared" si="2"/>
        <v>0</v>
      </c>
      <c r="J16" s="28">
        <f t="shared" si="2"/>
        <v>0</v>
      </c>
      <c r="K16" s="28">
        <f t="shared" si="2"/>
        <v>0</v>
      </c>
      <c r="L16" s="28">
        <f t="shared" si="2"/>
        <v>0</v>
      </c>
      <c r="M16" s="28">
        <f t="shared" si="2"/>
        <v>0</v>
      </c>
      <c r="N16" s="28">
        <f t="shared" si="2"/>
        <v>0</v>
      </c>
      <c r="O16" s="28">
        <f t="shared" si="2"/>
        <v>0</v>
      </c>
      <c r="P16" s="215">
        <f>SUM(B16:O16)</f>
        <v>0</v>
      </c>
    </row>
    <row r="17" spans="1:16" ht="21" customHeight="1">
      <c r="A17" s="19" t="s">
        <v>19</v>
      </c>
      <c r="B17" s="28">
        <v>0</v>
      </c>
      <c r="C17" s="28">
        <v>0</v>
      </c>
      <c r="D17" s="28">
        <f>0</f>
        <v>0</v>
      </c>
      <c r="E17" s="28">
        <f>0</f>
        <v>0</v>
      </c>
      <c r="F17" s="28">
        <f>0</f>
        <v>0</v>
      </c>
      <c r="G17" s="28">
        <f>0</f>
        <v>0</v>
      </c>
      <c r="H17" s="28">
        <f>0</f>
        <v>0</v>
      </c>
      <c r="I17" s="28">
        <f>0</f>
        <v>0</v>
      </c>
      <c r="J17" s="28">
        <f>0</f>
        <v>0</v>
      </c>
      <c r="K17" s="28">
        <f>0</f>
        <v>0</v>
      </c>
      <c r="L17" s="28">
        <f>0</f>
        <v>0</v>
      </c>
      <c r="M17" s="223">
        <f>0</f>
        <v>0</v>
      </c>
      <c r="N17" s="28">
        <f>0</f>
        <v>0</v>
      </c>
      <c r="O17" s="28">
        <f>0</f>
        <v>0</v>
      </c>
      <c r="P17" s="215">
        <f>SUM(B17:O17)</f>
        <v>0</v>
      </c>
    </row>
    <row r="18" spans="1:16" ht="21" customHeight="1">
      <c r="A18" s="21">
        <v>531000</v>
      </c>
      <c r="B18" s="32"/>
      <c r="C18" s="33"/>
      <c r="D18" s="25"/>
      <c r="E18" s="25"/>
      <c r="F18" s="26"/>
      <c r="G18" s="26"/>
      <c r="H18" s="25"/>
      <c r="I18" s="25"/>
      <c r="J18" s="32"/>
      <c r="K18" s="215"/>
      <c r="L18" s="25"/>
      <c r="M18" s="29"/>
      <c r="N18" s="215"/>
      <c r="O18" s="32"/>
      <c r="P18" s="215"/>
    </row>
    <row r="19" spans="1:16" ht="21" customHeight="1">
      <c r="A19" s="216">
        <v>310100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15">
        <f>SUM(B19:O19)</f>
        <v>0</v>
      </c>
    </row>
    <row r="20" spans="1:16" ht="21" customHeight="1">
      <c r="A20" s="19" t="s">
        <v>18</v>
      </c>
      <c r="B20" s="28">
        <f aca="true" t="shared" si="3" ref="B20:O20">SUM(B19:B19)</f>
        <v>0</v>
      </c>
      <c r="C20" s="28">
        <f t="shared" si="3"/>
        <v>0</v>
      </c>
      <c r="D20" s="28">
        <f t="shared" si="3"/>
        <v>0</v>
      </c>
      <c r="E20" s="28">
        <f t="shared" si="3"/>
        <v>0</v>
      </c>
      <c r="F20" s="28">
        <f t="shared" si="3"/>
        <v>0</v>
      </c>
      <c r="G20" s="28">
        <f t="shared" si="3"/>
        <v>0</v>
      </c>
      <c r="H20" s="28">
        <f t="shared" si="3"/>
        <v>0</v>
      </c>
      <c r="I20" s="28">
        <f t="shared" si="3"/>
        <v>0</v>
      </c>
      <c r="J20" s="28">
        <f t="shared" si="3"/>
        <v>0</v>
      </c>
      <c r="K20" s="28">
        <f t="shared" si="3"/>
        <v>0</v>
      </c>
      <c r="L20" s="28">
        <f t="shared" si="3"/>
        <v>0</v>
      </c>
      <c r="M20" s="28">
        <f t="shared" si="3"/>
        <v>0</v>
      </c>
      <c r="N20" s="28">
        <f t="shared" si="3"/>
        <v>0</v>
      </c>
      <c r="O20" s="28">
        <f t="shared" si="3"/>
        <v>0</v>
      </c>
      <c r="P20" s="215">
        <f>SUM(B20:O20)</f>
        <v>0</v>
      </c>
    </row>
    <row r="21" spans="1:16" ht="21" customHeight="1">
      <c r="A21" s="19" t="s">
        <v>19</v>
      </c>
      <c r="B21" s="28">
        <v>0</v>
      </c>
      <c r="C21" s="28">
        <v>0</v>
      </c>
      <c r="D21" s="28">
        <f>0</f>
        <v>0</v>
      </c>
      <c r="E21" s="28">
        <f>0</f>
        <v>0</v>
      </c>
      <c r="F21" s="28">
        <f>0</f>
        <v>0</v>
      </c>
      <c r="G21" s="28">
        <f>0</f>
        <v>0</v>
      </c>
      <c r="H21" s="28">
        <f>0</f>
        <v>0</v>
      </c>
      <c r="I21" s="28">
        <v>0</v>
      </c>
      <c r="J21" s="28">
        <f>0</f>
        <v>0</v>
      </c>
      <c r="K21" s="28">
        <f>0</f>
        <v>0</v>
      </c>
      <c r="L21" s="28">
        <f>0</f>
        <v>0</v>
      </c>
      <c r="M21" s="28">
        <f>0</f>
        <v>0</v>
      </c>
      <c r="N21" s="28">
        <f>0</f>
        <v>0</v>
      </c>
      <c r="O21" s="28">
        <f>0</f>
        <v>0</v>
      </c>
      <c r="P21" s="215">
        <f>SUM(B21:O21)</f>
        <v>0</v>
      </c>
    </row>
    <row r="22" spans="1:16" ht="21" customHeight="1">
      <c r="A22" s="20">
        <v>532000</v>
      </c>
      <c r="B22" s="28"/>
      <c r="C22" s="31"/>
      <c r="D22" s="29"/>
      <c r="E22" s="29"/>
      <c r="F22" s="30"/>
      <c r="G22" s="30"/>
      <c r="H22" s="28"/>
      <c r="I22" s="29"/>
      <c r="J22" s="28"/>
      <c r="K22" s="215"/>
      <c r="L22" s="29"/>
      <c r="M22" s="29"/>
      <c r="N22" s="215"/>
      <c r="O22" s="28"/>
      <c r="P22" s="215"/>
    </row>
    <row r="23" spans="1:16" ht="21" customHeight="1">
      <c r="A23" s="216">
        <v>320100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15">
        <f>SUM(B23:O23)</f>
        <v>0</v>
      </c>
    </row>
    <row r="24" spans="1:16" ht="21" customHeight="1">
      <c r="A24" s="19" t="s">
        <v>18</v>
      </c>
      <c r="B24" s="28">
        <f aca="true" t="shared" si="4" ref="B24:O24">SUM(B23:B23)</f>
        <v>0</v>
      </c>
      <c r="C24" s="28">
        <f t="shared" si="4"/>
        <v>0</v>
      </c>
      <c r="D24" s="28">
        <f t="shared" si="4"/>
        <v>0</v>
      </c>
      <c r="E24" s="28">
        <f t="shared" si="4"/>
        <v>0</v>
      </c>
      <c r="F24" s="28">
        <f t="shared" si="4"/>
        <v>0</v>
      </c>
      <c r="G24" s="28">
        <f t="shared" si="4"/>
        <v>0</v>
      </c>
      <c r="H24" s="28">
        <f t="shared" si="4"/>
        <v>0</v>
      </c>
      <c r="I24" s="28">
        <f t="shared" si="4"/>
        <v>0</v>
      </c>
      <c r="J24" s="28">
        <f t="shared" si="4"/>
        <v>0</v>
      </c>
      <c r="K24" s="28">
        <f t="shared" si="4"/>
        <v>0</v>
      </c>
      <c r="L24" s="28">
        <f t="shared" si="4"/>
        <v>0</v>
      </c>
      <c r="M24" s="28">
        <f t="shared" si="4"/>
        <v>0</v>
      </c>
      <c r="N24" s="28">
        <f t="shared" si="4"/>
        <v>0</v>
      </c>
      <c r="O24" s="28">
        <f t="shared" si="4"/>
        <v>0</v>
      </c>
      <c r="P24" s="215">
        <f>SUM(B24:O24)</f>
        <v>0</v>
      </c>
    </row>
    <row r="25" spans="1:16" ht="21" customHeight="1">
      <c r="A25" s="228" t="s">
        <v>19</v>
      </c>
      <c r="B25" s="28">
        <v>0</v>
      </c>
      <c r="C25" s="28">
        <f>0</f>
        <v>0</v>
      </c>
      <c r="D25" s="28">
        <f>0</f>
        <v>0</v>
      </c>
      <c r="E25" s="28">
        <f>0</f>
        <v>0</v>
      </c>
      <c r="F25" s="28">
        <f>0</f>
        <v>0</v>
      </c>
      <c r="G25" s="28">
        <f>0</f>
        <v>0</v>
      </c>
      <c r="H25" s="28">
        <f>0</f>
        <v>0</v>
      </c>
      <c r="I25" s="28">
        <v>0</v>
      </c>
      <c r="J25" s="28">
        <f>0</f>
        <v>0</v>
      </c>
      <c r="K25" s="28">
        <f>0</f>
        <v>0</v>
      </c>
      <c r="L25" s="28">
        <f>0</f>
        <v>0</v>
      </c>
      <c r="M25" s="28">
        <f>0</f>
        <v>0</v>
      </c>
      <c r="N25" s="28">
        <f>0</f>
        <v>0</v>
      </c>
      <c r="O25" s="28">
        <f>0</f>
        <v>0</v>
      </c>
      <c r="P25" s="215">
        <f>SUM(B25:O25)</f>
        <v>0</v>
      </c>
    </row>
    <row r="26" spans="1:16" ht="21" customHeight="1">
      <c r="A26" s="20">
        <v>533000</v>
      </c>
      <c r="B26" s="28"/>
      <c r="C26" s="33"/>
      <c r="D26" s="25"/>
      <c r="E26" s="28"/>
      <c r="F26" s="31"/>
      <c r="G26" s="26"/>
      <c r="H26" s="28"/>
      <c r="I26" s="28"/>
      <c r="J26" s="28"/>
      <c r="K26" s="215"/>
      <c r="L26" s="36"/>
      <c r="M26" s="32"/>
      <c r="N26" s="215"/>
      <c r="O26" s="32"/>
      <c r="P26" s="215"/>
    </row>
    <row r="27" spans="1:16" ht="21" customHeight="1">
      <c r="A27" s="216">
        <v>331700</v>
      </c>
      <c r="B27" s="28">
        <v>0</v>
      </c>
      <c r="C27" s="28">
        <v>0</v>
      </c>
      <c r="D27" s="28">
        <v>0</v>
      </c>
      <c r="E27" s="28">
        <v>0</v>
      </c>
      <c r="F27" s="28">
        <v>313064.5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15">
        <f>SUM(B27:O27)</f>
        <v>313064.5</v>
      </c>
    </row>
    <row r="28" spans="1:16" ht="21" customHeight="1">
      <c r="A28" s="19" t="s">
        <v>18</v>
      </c>
      <c r="B28" s="28">
        <f aca="true" t="shared" si="5" ref="B28:N28">SUM(B27)</f>
        <v>0</v>
      </c>
      <c r="C28" s="28">
        <f t="shared" si="5"/>
        <v>0</v>
      </c>
      <c r="D28" s="28">
        <f t="shared" si="5"/>
        <v>0</v>
      </c>
      <c r="E28" s="28">
        <f t="shared" si="5"/>
        <v>0</v>
      </c>
      <c r="F28" s="28">
        <f t="shared" si="5"/>
        <v>313064.5</v>
      </c>
      <c r="G28" s="28">
        <f t="shared" si="5"/>
        <v>0</v>
      </c>
      <c r="H28" s="28">
        <f t="shared" si="5"/>
        <v>0</v>
      </c>
      <c r="I28" s="28">
        <f t="shared" si="5"/>
        <v>0</v>
      </c>
      <c r="J28" s="28">
        <f t="shared" si="5"/>
        <v>0</v>
      </c>
      <c r="K28" s="28">
        <f t="shared" si="5"/>
        <v>0</v>
      </c>
      <c r="L28" s="28">
        <f t="shared" si="5"/>
        <v>0</v>
      </c>
      <c r="M28" s="28">
        <f t="shared" si="5"/>
        <v>0</v>
      </c>
      <c r="N28" s="28">
        <f t="shared" si="5"/>
        <v>0</v>
      </c>
      <c r="O28" s="28">
        <f>SUM(O27)</f>
        <v>0</v>
      </c>
      <c r="P28" s="215">
        <f>SUM(B28:O28)</f>
        <v>313064.5</v>
      </c>
    </row>
    <row r="29" spans="1:16" ht="21" customHeight="1">
      <c r="A29" s="19" t="s">
        <v>19</v>
      </c>
      <c r="B29" s="28">
        <v>0</v>
      </c>
      <c r="C29" s="28">
        <v>0</v>
      </c>
      <c r="D29" s="28">
        <f>0</f>
        <v>0</v>
      </c>
      <c r="E29" s="28">
        <f>0</f>
        <v>0</v>
      </c>
      <c r="F29" s="28">
        <v>313064.5</v>
      </c>
      <c r="G29" s="28">
        <f>0</f>
        <v>0</v>
      </c>
      <c r="H29" s="28">
        <f>0</f>
        <v>0</v>
      </c>
      <c r="I29" s="28">
        <v>0</v>
      </c>
      <c r="J29" s="28">
        <f>0</f>
        <v>0</v>
      </c>
      <c r="K29" s="28">
        <f>0</f>
        <v>0</v>
      </c>
      <c r="L29" s="28">
        <f>0</f>
        <v>0</v>
      </c>
      <c r="M29" s="28">
        <f>0</f>
        <v>0</v>
      </c>
      <c r="N29" s="28">
        <f>0</f>
        <v>0</v>
      </c>
      <c r="O29" s="28">
        <f>0</f>
        <v>0</v>
      </c>
      <c r="P29" s="215">
        <f>SUM(B29:O29)</f>
        <v>313064.5</v>
      </c>
    </row>
    <row r="30" spans="1:16" ht="21" customHeight="1">
      <c r="A30" s="163"/>
      <c r="B30" s="34"/>
      <c r="C30" s="34"/>
      <c r="D30" s="34"/>
      <c r="E30" s="571" t="s">
        <v>7</v>
      </c>
      <c r="F30" s="571"/>
      <c r="G30" s="571"/>
      <c r="H30" s="231"/>
      <c r="I30" s="231"/>
      <c r="J30" s="571" t="s">
        <v>98</v>
      </c>
      <c r="K30" s="571"/>
      <c r="L30" s="571"/>
      <c r="M30" s="220"/>
      <c r="N30" s="225"/>
      <c r="O30" s="34"/>
      <c r="P30" s="221"/>
    </row>
    <row r="31" spans="1:16" ht="21" customHeight="1">
      <c r="A31" s="218"/>
      <c r="B31" s="34"/>
      <c r="C31" s="34"/>
      <c r="D31" s="34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34"/>
      <c r="P31" s="221"/>
    </row>
    <row r="32" spans="1:16" ht="21" customHeight="1">
      <c r="A32" s="218"/>
      <c r="B32" s="34"/>
      <c r="C32" s="34"/>
      <c r="D32" s="34"/>
      <c r="E32" s="567" t="s">
        <v>115</v>
      </c>
      <c r="F32" s="567"/>
      <c r="G32" s="567"/>
      <c r="H32" s="232"/>
      <c r="I32" s="232"/>
      <c r="J32" s="567" t="s">
        <v>300</v>
      </c>
      <c r="K32" s="567"/>
      <c r="L32" s="567"/>
      <c r="M32" s="220"/>
      <c r="N32" s="219"/>
      <c r="O32" s="34"/>
      <c r="P32" s="221"/>
    </row>
    <row r="33" spans="1:16" ht="21" customHeight="1">
      <c r="A33" s="218"/>
      <c r="B33" s="34"/>
      <c r="C33" s="34"/>
      <c r="D33" s="34"/>
      <c r="E33" s="567" t="s">
        <v>108</v>
      </c>
      <c r="F33" s="567"/>
      <c r="G33" s="567"/>
      <c r="H33" s="232"/>
      <c r="I33" s="232"/>
      <c r="J33" s="567" t="s">
        <v>97</v>
      </c>
      <c r="K33" s="567"/>
      <c r="L33" s="567"/>
      <c r="M33" s="220"/>
      <c r="N33" s="219"/>
      <c r="O33" s="34"/>
      <c r="P33" s="221"/>
    </row>
    <row r="34" spans="1:16" ht="21" customHeight="1">
      <c r="A34" s="218"/>
      <c r="B34" s="34"/>
      <c r="C34" s="34"/>
      <c r="D34" s="34"/>
      <c r="E34" s="219"/>
      <c r="F34" s="219"/>
      <c r="G34" s="219"/>
      <c r="H34" s="232"/>
      <c r="I34" s="232"/>
      <c r="J34" s="567"/>
      <c r="K34" s="567"/>
      <c r="L34" s="567"/>
      <c r="M34" s="220"/>
      <c r="N34" s="219"/>
      <c r="O34" s="34"/>
      <c r="P34" s="221"/>
    </row>
    <row r="35" spans="1:16" ht="21" customHeight="1" thickBot="1">
      <c r="A35" s="568" t="s">
        <v>72</v>
      </c>
      <c r="B35" s="568"/>
      <c r="C35" s="568"/>
      <c r="D35" s="568"/>
      <c r="E35" s="568"/>
      <c r="F35" s="568"/>
      <c r="G35" s="568"/>
      <c r="H35" s="568"/>
      <c r="I35" s="568"/>
      <c r="J35" s="568"/>
      <c r="K35" s="568"/>
      <c r="L35" s="568"/>
      <c r="M35" s="568"/>
      <c r="N35" s="568"/>
      <c r="O35" s="568"/>
      <c r="P35" s="568"/>
    </row>
    <row r="36" spans="1:16" s="227" customFormat="1" ht="21" customHeight="1">
      <c r="A36" s="41" t="s">
        <v>15</v>
      </c>
      <c r="B36" s="569" t="s">
        <v>79</v>
      </c>
      <c r="C36" s="570"/>
      <c r="D36" s="569" t="s">
        <v>82</v>
      </c>
      <c r="E36" s="570"/>
      <c r="F36" s="42" t="s">
        <v>88</v>
      </c>
      <c r="G36" s="42" t="s">
        <v>89</v>
      </c>
      <c r="H36" s="43" t="s">
        <v>92</v>
      </c>
      <c r="I36" s="569" t="s">
        <v>83</v>
      </c>
      <c r="J36" s="570"/>
      <c r="K36" s="44" t="s">
        <v>93</v>
      </c>
      <c r="L36" s="569" t="s">
        <v>84</v>
      </c>
      <c r="M36" s="572"/>
      <c r="N36" s="44" t="s">
        <v>96</v>
      </c>
      <c r="O36" s="42" t="s">
        <v>77</v>
      </c>
      <c r="P36" s="51" t="s">
        <v>16</v>
      </c>
    </row>
    <row r="37" spans="1:16" s="227" customFormat="1" ht="21" customHeight="1" thickBot="1">
      <c r="A37" s="45" t="s">
        <v>17</v>
      </c>
      <c r="B37" s="47" t="s">
        <v>80</v>
      </c>
      <c r="C37" s="48" t="s">
        <v>81</v>
      </c>
      <c r="D37" s="46" t="s">
        <v>73</v>
      </c>
      <c r="E37" s="46" t="s">
        <v>74</v>
      </c>
      <c r="F37" s="47" t="s">
        <v>87</v>
      </c>
      <c r="G37" s="47" t="s">
        <v>90</v>
      </c>
      <c r="H37" s="49" t="s">
        <v>91</v>
      </c>
      <c r="I37" s="46" t="s">
        <v>75</v>
      </c>
      <c r="J37" s="46" t="s">
        <v>76</v>
      </c>
      <c r="K37" s="50" t="s">
        <v>94</v>
      </c>
      <c r="L37" s="48" t="s">
        <v>85</v>
      </c>
      <c r="M37" s="37" t="s">
        <v>86</v>
      </c>
      <c r="N37" s="50" t="s">
        <v>95</v>
      </c>
      <c r="O37" s="46" t="s">
        <v>78</v>
      </c>
      <c r="P37" s="222"/>
    </row>
    <row r="38" spans="1:16" ht="21" customHeight="1">
      <c r="A38" s="20">
        <v>534000</v>
      </c>
      <c r="B38" s="28"/>
      <c r="C38" s="30"/>
      <c r="D38" s="29"/>
      <c r="E38" s="29"/>
      <c r="F38" s="30"/>
      <c r="G38" s="29"/>
      <c r="H38" s="28"/>
      <c r="I38" s="29"/>
      <c r="J38" s="29"/>
      <c r="K38" s="215"/>
      <c r="L38" s="29"/>
      <c r="M38" s="29"/>
      <c r="N38" s="215"/>
      <c r="O38" s="29"/>
      <c r="P38" s="215"/>
    </row>
    <row r="39" spans="1:16" ht="21" customHeight="1">
      <c r="A39" s="216">
        <v>340100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15">
        <f>SUM(B39:O39)</f>
        <v>0</v>
      </c>
    </row>
    <row r="40" spans="1:16" ht="21" customHeight="1">
      <c r="A40" s="19" t="s">
        <v>18</v>
      </c>
      <c r="B40" s="29">
        <f aca="true" t="shared" si="6" ref="B40:O40">SUM(B39:B39)</f>
        <v>0</v>
      </c>
      <c r="C40" s="29">
        <f t="shared" si="6"/>
        <v>0</v>
      </c>
      <c r="D40" s="29">
        <f t="shared" si="6"/>
        <v>0</v>
      </c>
      <c r="E40" s="29">
        <f t="shared" si="6"/>
        <v>0</v>
      </c>
      <c r="F40" s="29">
        <f t="shared" si="6"/>
        <v>0</v>
      </c>
      <c r="G40" s="29">
        <f t="shared" si="6"/>
        <v>0</v>
      </c>
      <c r="H40" s="29">
        <f t="shared" si="6"/>
        <v>0</v>
      </c>
      <c r="I40" s="29">
        <f t="shared" si="6"/>
        <v>0</v>
      </c>
      <c r="J40" s="29">
        <f t="shared" si="6"/>
        <v>0</v>
      </c>
      <c r="K40" s="29">
        <f t="shared" si="6"/>
        <v>0</v>
      </c>
      <c r="L40" s="29">
        <f t="shared" si="6"/>
        <v>0</v>
      </c>
      <c r="M40" s="29">
        <f t="shared" si="6"/>
        <v>0</v>
      </c>
      <c r="N40" s="29">
        <f t="shared" si="6"/>
        <v>0</v>
      </c>
      <c r="O40" s="29">
        <f t="shared" si="6"/>
        <v>0</v>
      </c>
      <c r="P40" s="215">
        <f>SUM(B40:O40)</f>
        <v>0</v>
      </c>
    </row>
    <row r="41" spans="1:16" ht="21" customHeight="1">
      <c r="A41" s="19" t="s">
        <v>19</v>
      </c>
      <c r="B41" s="28">
        <v>0</v>
      </c>
      <c r="C41" s="28">
        <f>0</f>
        <v>0</v>
      </c>
      <c r="D41" s="28">
        <f>0</f>
        <v>0</v>
      </c>
      <c r="E41" s="28">
        <f>0</f>
        <v>0</v>
      </c>
      <c r="F41" s="28">
        <f>0</f>
        <v>0</v>
      </c>
      <c r="G41" s="28">
        <f>0</f>
        <v>0</v>
      </c>
      <c r="H41" s="28">
        <f>0</f>
        <v>0</v>
      </c>
      <c r="I41" s="28">
        <f>0</f>
        <v>0</v>
      </c>
      <c r="J41" s="28">
        <f>0</f>
        <v>0</v>
      </c>
      <c r="K41" s="28">
        <f>0</f>
        <v>0</v>
      </c>
      <c r="L41" s="28">
        <f>0</f>
        <v>0</v>
      </c>
      <c r="M41" s="28">
        <f>0</f>
        <v>0</v>
      </c>
      <c r="N41" s="28">
        <f>0</f>
        <v>0</v>
      </c>
      <c r="O41" s="28">
        <f>0</f>
        <v>0</v>
      </c>
      <c r="P41" s="215">
        <f>SUM(B41:O41)</f>
        <v>0</v>
      </c>
    </row>
    <row r="42" spans="1:16" ht="21" customHeight="1">
      <c r="A42" s="20">
        <v>541000</v>
      </c>
      <c r="B42" s="28"/>
      <c r="C42" s="30"/>
      <c r="D42" s="29"/>
      <c r="E42" s="29"/>
      <c r="F42" s="30"/>
      <c r="G42" s="29"/>
      <c r="H42" s="28"/>
      <c r="I42" s="29"/>
      <c r="J42" s="29"/>
      <c r="K42" s="215"/>
      <c r="L42" s="29"/>
      <c r="M42" s="29"/>
      <c r="N42" s="215"/>
      <c r="O42" s="29"/>
      <c r="P42" s="215"/>
    </row>
    <row r="43" spans="1:16" ht="21" customHeight="1">
      <c r="A43" s="217">
        <v>410100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15">
        <f>SUM(B43:O43)</f>
        <v>0</v>
      </c>
    </row>
    <row r="44" spans="1:16" ht="21" customHeight="1">
      <c r="A44" s="19" t="s">
        <v>18</v>
      </c>
      <c r="B44" s="29">
        <f aca="true" t="shared" si="7" ref="B44:O44">SUM(B43)</f>
        <v>0</v>
      </c>
      <c r="C44" s="29">
        <f t="shared" si="7"/>
        <v>0</v>
      </c>
      <c r="D44" s="29">
        <f t="shared" si="7"/>
        <v>0</v>
      </c>
      <c r="E44" s="29">
        <f t="shared" si="7"/>
        <v>0</v>
      </c>
      <c r="F44" s="29">
        <f t="shared" si="7"/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15">
        <f>SUM(B44:O44)</f>
        <v>0</v>
      </c>
    </row>
    <row r="45" spans="1:16" ht="21" customHeight="1">
      <c r="A45" s="19" t="s">
        <v>19</v>
      </c>
      <c r="B45" s="223">
        <f>0</f>
        <v>0</v>
      </c>
      <c r="C45" s="223">
        <f>0</f>
        <v>0</v>
      </c>
      <c r="D45" s="223">
        <f>0</f>
        <v>0</v>
      </c>
      <c r="E45" s="223">
        <f>0</f>
        <v>0</v>
      </c>
      <c r="F45" s="28">
        <f>0</f>
        <v>0</v>
      </c>
      <c r="G45" s="28">
        <f>0</f>
        <v>0</v>
      </c>
      <c r="H45" s="223">
        <f>0</f>
        <v>0</v>
      </c>
      <c r="I45" s="223">
        <f>0</f>
        <v>0</v>
      </c>
      <c r="J45" s="223">
        <f>0</f>
        <v>0</v>
      </c>
      <c r="K45" s="223">
        <f>0</f>
        <v>0</v>
      </c>
      <c r="L45" s="223">
        <f>0</f>
        <v>0</v>
      </c>
      <c r="M45" s="28">
        <f>0</f>
        <v>0</v>
      </c>
      <c r="N45" s="223">
        <f>0</f>
        <v>0</v>
      </c>
      <c r="O45" s="223">
        <f>0</f>
        <v>0</v>
      </c>
      <c r="P45" s="215">
        <f>SUM(B45:O45)</f>
        <v>0</v>
      </c>
    </row>
    <row r="46" spans="1:16" ht="21" customHeight="1">
      <c r="A46" s="20">
        <v>542000</v>
      </c>
      <c r="B46" s="28"/>
      <c r="C46" s="30"/>
      <c r="D46" s="29"/>
      <c r="E46" s="29"/>
      <c r="F46" s="30"/>
      <c r="G46" s="29"/>
      <c r="H46" s="28"/>
      <c r="I46" s="29"/>
      <c r="J46" s="29"/>
      <c r="K46" s="215"/>
      <c r="L46" s="29"/>
      <c r="M46" s="29"/>
      <c r="N46" s="215"/>
      <c r="O46" s="29"/>
      <c r="P46" s="215"/>
    </row>
    <row r="47" spans="1:16" ht="21" customHeight="1">
      <c r="A47" s="253">
        <v>420900</v>
      </c>
      <c r="B47" s="28">
        <v>0</v>
      </c>
      <c r="C47" s="30">
        <v>0</v>
      </c>
      <c r="D47" s="29">
        <v>0</v>
      </c>
      <c r="E47" s="29">
        <v>0</v>
      </c>
      <c r="F47" s="30">
        <v>0</v>
      </c>
      <c r="G47" s="29">
        <v>0</v>
      </c>
      <c r="H47" s="28">
        <v>0</v>
      </c>
      <c r="I47" s="29">
        <v>0</v>
      </c>
      <c r="J47" s="29">
        <v>0</v>
      </c>
      <c r="K47" s="215">
        <v>0</v>
      </c>
      <c r="L47" s="29">
        <v>0</v>
      </c>
      <c r="M47" s="29">
        <v>0</v>
      </c>
      <c r="N47" s="215">
        <v>0</v>
      </c>
      <c r="O47" s="29"/>
      <c r="P47" s="215">
        <f>SUM(B47:O47)</f>
        <v>0</v>
      </c>
    </row>
    <row r="48" spans="1:16" ht="21" customHeight="1">
      <c r="A48" s="253">
        <v>421000</v>
      </c>
      <c r="B48" s="28">
        <v>0</v>
      </c>
      <c r="C48" s="30">
        <v>0</v>
      </c>
      <c r="D48" s="29">
        <v>0</v>
      </c>
      <c r="E48" s="29">
        <v>0</v>
      </c>
      <c r="F48" s="30">
        <v>0</v>
      </c>
      <c r="G48" s="29">
        <v>0</v>
      </c>
      <c r="H48" s="28">
        <v>0</v>
      </c>
      <c r="I48" s="29">
        <v>0</v>
      </c>
      <c r="J48" s="29">
        <v>0</v>
      </c>
      <c r="K48" s="215">
        <v>0</v>
      </c>
      <c r="L48" s="29">
        <v>0</v>
      </c>
      <c r="M48" s="29">
        <v>0</v>
      </c>
      <c r="N48" s="215">
        <v>0</v>
      </c>
      <c r="O48" s="29"/>
      <c r="P48" s="215">
        <f>SUM(B48:O48)</f>
        <v>0</v>
      </c>
    </row>
    <row r="49" spans="1:16" ht="21" customHeight="1">
      <c r="A49" s="19" t="s">
        <v>18</v>
      </c>
      <c r="B49" s="29">
        <f>SUM(B47:B48)</f>
        <v>0</v>
      </c>
      <c r="C49" s="29">
        <f aca="true" t="shared" si="8" ref="C49:O49">SUM(C47:C48)</f>
        <v>0</v>
      </c>
      <c r="D49" s="29">
        <f t="shared" si="8"/>
        <v>0</v>
      </c>
      <c r="E49" s="29">
        <f t="shared" si="8"/>
        <v>0</v>
      </c>
      <c r="F49" s="29">
        <f t="shared" si="8"/>
        <v>0</v>
      </c>
      <c r="G49" s="29">
        <f t="shared" si="8"/>
        <v>0</v>
      </c>
      <c r="H49" s="29">
        <f t="shared" si="8"/>
        <v>0</v>
      </c>
      <c r="I49" s="29">
        <f t="shared" si="8"/>
        <v>0</v>
      </c>
      <c r="J49" s="29">
        <f t="shared" si="8"/>
        <v>0</v>
      </c>
      <c r="K49" s="29">
        <f t="shared" si="8"/>
        <v>0</v>
      </c>
      <c r="L49" s="29">
        <f t="shared" si="8"/>
        <v>0</v>
      </c>
      <c r="M49" s="29">
        <f t="shared" si="8"/>
        <v>0</v>
      </c>
      <c r="N49" s="29">
        <f t="shared" si="8"/>
        <v>0</v>
      </c>
      <c r="O49" s="29">
        <f t="shared" si="8"/>
        <v>0</v>
      </c>
      <c r="P49" s="215">
        <f>SUM(B49:O49)</f>
        <v>0</v>
      </c>
    </row>
    <row r="50" spans="1:16" ht="21" customHeight="1">
      <c r="A50" s="19" t="s">
        <v>19</v>
      </c>
      <c r="B50" s="28">
        <v>0</v>
      </c>
      <c r="C50" s="28">
        <v>0</v>
      </c>
      <c r="D50" s="28">
        <f>0</f>
        <v>0</v>
      </c>
      <c r="E50" s="28">
        <f>0</f>
        <v>0</v>
      </c>
      <c r="F50" s="28">
        <f>0</f>
        <v>0</v>
      </c>
      <c r="G50" s="28">
        <f>0</f>
        <v>0</v>
      </c>
      <c r="H50" s="28">
        <f>0</f>
        <v>0</v>
      </c>
      <c r="I50" s="28">
        <v>0</v>
      </c>
      <c r="J50" s="28">
        <v>74500</v>
      </c>
      <c r="K50" s="28">
        <f>0</f>
        <v>0</v>
      </c>
      <c r="L50" s="28">
        <f>0</f>
        <v>0</v>
      </c>
      <c r="M50" s="28">
        <f>0</f>
        <v>0</v>
      </c>
      <c r="N50" s="28">
        <v>0</v>
      </c>
      <c r="O50" s="28">
        <f>0</f>
        <v>0</v>
      </c>
      <c r="P50" s="215">
        <f>SUM(B50:O50)</f>
        <v>74500</v>
      </c>
    </row>
    <row r="51" spans="1:16" ht="21" customHeight="1">
      <c r="A51" s="20">
        <v>551000</v>
      </c>
      <c r="B51" s="28"/>
      <c r="C51" s="30"/>
      <c r="D51" s="29"/>
      <c r="E51" s="29"/>
      <c r="F51" s="30"/>
      <c r="G51" s="29"/>
      <c r="H51" s="28"/>
      <c r="I51" s="29"/>
      <c r="J51" s="29"/>
      <c r="K51" s="215"/>
      <c r="L51" s="29"/>
      <c r="M51" s="29"/>
      <c r="N51" s="215"/>
      <c r="O51" s="29"/>
      <c r="P51" s="215"/>
    </row>
    <row r="52" spans="1:16" ht="21" customHeight="1">
      <c r="A52" s="216">
        <v>510100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15">
        <f>SUM(B52:O52)</f>
        <v>0</v>
      </c>
    </row>
    <row r="53" spans="1:16" ht="21" customHeight="1">
      <c r="A53" s="19" t="s">
        <v>18</v>
      </c>
      <c r="B53" s="29">
        <f aca="true" t="shared" si="9" ref="B53:O53">SUM(B52:B52)</f>
        <v>0</v>
      </c>
      <c r="C53" s="29">
        <f t="shared" si="9"/>
        <v>0</v>
      </c>
      <c r="D53" s="29">
        <f t="shared" si="9"/>
        <v>0</v>
      </c>
      <c r="E53" s="29">
        <f t="shared" si="9"/>
        <v>0</v>
      </c>
      <c r="F53" s="29">
        <f t="shared" si="9"/>
        <v>0</v>
      </c>
      <c r="G53" s="29">
        <f t="shared" si="9"/>
        <v>0</v>
      </c>
      <c r="H53" s="29">
        <f t="shared" si="9"/>
        <v>0</v>
      </c>
      <c r="I53" s="29">
        <f t="shared" si="9"/>
        <v>0</v>
      </c>
      <c r="J53" s="29">
        <f t="shared" si="9"/>
        <v>0</v>
      </c>
      <c r="K53" s="29">
        <f t="shared" si="9"/>
        <v>0</v>
      </c>
      <c r="L53" s="29">
        <f t="shared" si="9"/>
        <v>0</v>
      </c>
      <c r="M53" s="29">
        <f t="shared" si="9"/>
        <v>0</v>
      </c>
      <c r="N53" s="29">
        <f t="shared" si="9"/>
        <v>0</v>
      </c>
      <c r="O53" s="29">
        <f t="shared" si="9"/>
        <v>0</v>
      </c>
      <c r="P53" s="215">
        <f>SUM(B53:O53)</f>
        <v>0</v>
      </c>
    </row>
    <row r="54" spans="1:16" ht="21" customHeight="1">
      <c r="A54" s="19" t="s">
        <v>19</v>
      </c>
      <c r="B54" s="28">
        <v>0</v>
      </c>
      <c r="C54" s="28">
        <f>0</f>
        <v>0</v>
      </c>
      <c r="D54" s="28">
        <f>0</f>
        <v>0</v>
      </c>
      <c r="E54" s="28">
        <f>0</f>
        <v>0</v>
      </c>
      <c r="F54" s="28">
        <f>0</f>
        <v>0</v>
      </c>
      <c r="G54" s="28">
        <f>0</f>
        <v>0</v>
      </c>
      <c r="H54" s="28">
        <f>0</f>
        <v>0</v>
      </c>
      <c r="I54" s="28">
        <v>0</v>
      </c>
      <c r="J54" s="28">
        <v>0</v>
      </c>
      <c r="K54" s="28">
        <f>0</f>
        <v>0</v>
      </c>
      <c r="L54" s="28">
        <f>0</f>
        <v>0</v>
      </c>
      <c r="M54" s="28">
        <f>0</f>
        <v>0</v>
      </c>
      <c r="N54" s="28">
        <f>0</f>
        <v>0</v>
      </c>
      <c r="O54" s="28">
        <f>0</f>
        <v>0</v>
      </c>
      <c r="P54" s="215">
        <f>SUM(B54:O54)</f>
        <v>0</v>
      </c>
    </row>
    <row r="55" spans="1:16" ht="21" customHeight="1">
      <c r="A55" s="20">
        <v>561000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15"/>
    </row>
    <row r="56" spans="1:16" ht="21" customHeight="1">
      <c r="A56" s="216">
        <v>610100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9">
        <f>SUM(B56:O56)</f>
        <v>0</v>
      </c>
    </row>
    <row r="57" spans="1:16" ht="21" customHeight="1">
      <c r="A57" s="19" t="s">
        <v>18</v>
      </c>
      <c r="B57" s="28">
        <f aca="true" t="shared" si="10" ref="B57:O57">SUM(B56)</f>
        <v>0</v>
      </c>
      <c r="C57" s="28">
        <f t="shared" si="10"/>
        <v>0</v>
      </c>
      <c r="D57" s="28">
        <f t="shared" si="10"/>
        <v>0</v>
      </c>
      <c r="E57" s="28">
        <f t="shared" si="10"/>
        <v>0</v>
      </c>
      <c r="F57" s="28">
        <f t="shared" si="10"/>
        <v>0</v>
      </c>
      <c r="G57" s="28">
        <f t="shared" si="10"/>
        <v>0</v>
      </c>
      <c r="H57" s="28">
        <f t="shared" si="10"/>
        <v>0</v>
      </c>
      <c r="I57" s="28">
        <f t="shared" si="10"/>
        <v>0</v>
      </c>
      <c r="J57" s="28">
        <f t="shared" si="10"/>
        <v>0</v>
      </c>
      <c r="K57" s="28">
        <f t="shared" si="10"/>
        <v>0</v>
      </c>
      <c r="L57" s="28">
        <f t="shared" si="10"/>
        <v>0</v>
      </c>
      <c r="M57" s="28">
        <f t="shared" si="10"/>
        <v>0</v>
      </c>
      <c r="N57" s="28">
        <f t="shared" si="10"/>
        <v>0</v>
      </c>
      <c r="O57" s="28">
        <f t="shared" si="10"/>
        <v>0</v>
      </c>
      <c r="P57" s="29">
        <f>SUM(B57:O57)</f>
        <v>0</v>
      </c>
    </row>
    <row r="58" spans="1:16" ht="21" customHeight="1">
      <c r="A58" s="19" t="s">
        <v>19</v>
      </c>
      <c r="B58" s="28">
        <f>0</f>
        <v>0</v>
      </c>
      <c r="C58" s="28">
        <f>0</f>
        <v>0</v>
      </c>
      <c r="D58" s="28">
        <f>0</f>
        <v>0</v>
      </c>
      <c r="E58" s="28">
        <v>0</v>
      </c>
      <c r="F58" s="28">
        <f>0</f>
        <v>0</v>
      </c>
      <c r="G58" s="28">
        <f>0</f>
        <v>0</v>
      </c>
      <c r="H58" s="28">
        <f>0</f>
        <v>0</v>
      </c>
      <c r="I58" s="28">
        <f>0</f>
        <v>0</v>
      </c>
      <c r="J58" s="28">
        <v>0</v>
      </c>
      <c r="K58" s="28">
        <f>0</f>
        <v>0</v>
      </c>
      <c r="L58" s="28">
        <f>0</f>
        <v>0</v>
      </c>
      <c r="M58" s="28">
        <v>0</v>
      </c>
      <c r="N58" s="28">
        <f>0</f>
        <v>0</v>
      </c>
      <c r="O58" s="28">
        <f>0</f>
        <v>0</v>
      </c>
      <c r="P58" s="29">
        <f>SUM(B58:O58)</f>
        <v>0</v>
      </c>
    </row>
    <row r="59" spans="1:16" ht="21" customHeight="1">
      <c r="A59" s="19" t="s">
        <v>70</v>
      </c>
      <c r="B59" s="29">
        <f aca="true" t="shared" si="11" ref="B59:O59">B8+B12+B16+B20+B24+B28+B40+B44+B49+B53+B57</f>
        <v>0</v>
      </c>
      <c r="C59" s="29">
        <f t="shared" si="11"/>
        <v>0</v>
      </c>
      <c r="D59" s="29">
        <f t="shared" si="11"/>
        <v>0</v>
      </c>
      <c r="E59" s="29">
        <f t="shared" si="11"/>
        <v>0</v>
      </c>
      <c r="F59" s="29">
        <f t="shared" si="11"/>
        <v>313064.5</v>
      </c>
      <c r="G59" s="29">
        <f t="shared" si="11"/>
        <v>0</v>
      </c>
      <c r="H59" s="29">
        <f t="shared" si="11"/>
        <v>0</v>
      </c>
      <c r="I59" s="29">
        <f t="shared" si="11"/>
        <v>0</v>
      </c>
      <c r="J59" s="29">
        <f t="shared" si="11"/>
        <v>0</v>
      </c>
      <c r="K59" s="29">
        <f t="shared" si="11"/>
        <v>0</v>
      </c>
      <c r="L59" s="29">
        <f t="shared" si="11"/>
        <v>0</v>
      </c>
      <c r="M59" s="29">
        <f t="shared" si="11"/>
        <v>0</v>
      </c>
      <c r="N59" s="29">
        <f t="shared" si="11"/>
        <v>0</v>
      </c>
      <c r="O59" s="29">
        <f t="shared" si="11"/>
        <v>0</v>
      </c>
      <c r="P59" s="29">
        <f>SUM(B59:O59)</f>
        <v>313064.5</v>
      </c>
    </row>
    <row r="60" spans="1:16" ht="21" customHeight="1">
      <c r="A60" s="19" t="s">
        <v>101</v>
      </c>
      <c r="B60" s="29">
        <f aca="true" t="shared" si="12" ref="B60:O60">B9+B13+B17+B21+B25+B29+B41+B45+B50+B54+B58</f>
        <v>0</v>
      </c>
      <c r="C60" s="29">
        <f t="shared" si="12"/>
        <v>0</v>
      </c>
      <c r="D60" s="29">
        <f t="shared" si="12"/>
        <v>0</v>
      </c>
      <c r="E60" s="29">
        <f t="shared" si="12"/>
        <v>0</v>
      </c>
      <c r="F60" s="29">
        <f t="shared" si="12"/>
        <v>313064.5</v>
      </c>
      <c r="G60" s="29">
        <f t="shared" si="12"/>
        <v>0</v>
      </c>
      <c r="H60" s="29">
        <f t="shared" si="12"/>
        <v>0</v>
      </c>
      <c r="I60" s="29">
        <f t="shared" si="12"/>
        <v>0</v>
      </c>
      <c r="J60" s="29">
        <f t="shared" si="12"/>
        <v>74500</v>
      </c>
      <c r="K60" s="29">
        <f t="shared" si="12"/>
        <v>0</v>
      </c>
      <c r="L60" s="29">
        <f t="shared" si="12"/>
        <v>0</v>
      </c>
      <c r="M60" s="29">
        <f t="shared" si="12"/>
        <v>0</v>
      </c>
      <c r="N60" s="29">
        <f t="shared" si="12"/>
        <v>0</v>
      </c>
      <c r="O60" s="29">
        <f t="shared" si="12"/>
        <v>0</v>
      </c>
      <c r="P60" s="29">
        <f>SUM(B60:O60)</f>
        <v>387564.5</v>
      </c>
    </row>
    <row r="61" spans="1:16" ht="21" customHeight="1">
      <c r="A61" s="218"/>
      <c r="B61" s="224"/>
      <c r="C61" s="224"/>
      <c r="D61" s="224"/>
      <c r="E61" s="571" t="s">
        <v>7</v>
      </c>
      <c r="F61" s="571"/>
      <c r="G61" s="571"/>
      <c r="H61" s="231"/>
      <c r="I61" s="231"/>
      <c r="J61" s="571" t="s">
        <v>98</v>
      </c>
      <c r="K61" s="571"/>
      <c r="L61" s="571"/>
      <c r="M61" s="220"/>
      <c r="N61" s="225"/>
      <c r="O61" s="224"/>
      <c r="P61" s="226"/>
    </row>
    <row r="62" spans="1:16" ht="21" customHeight="1">
      <c r="A62" s="218"/>
      <c r="B62" s="34"/>
      <c r="C62" s="34"/>
      <c r="D62" s="34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34"/>
      <c r="P62" s="229"/>
    </row>
    <row r="63" spans="1:16" ht="21" customHeight="1">
      <c r="A63" s="218"/>
      <c r="B63" s="34"/>
      <c r="C63" s="34"/>
      <c r="D63" s="34"/>
      <c r="E63" s="567" t="s">
        <v>115</v>
      </c>
      <c r="F63" s="567"/>
      <c r="G63" s="567"/>
      <c r="H63" s="232"/>
      <c r="I63" s="232"/>
      <c r="J63" s="567" t="s">
        <v>300</v>
      </c>
      <c r="K63" s="567"/>
      <c r="L63" s="567"/>
      <c r="M63" s="220"/>
      <c r="N63" s="219"/>
      <c r="O63" s="34"/>
      <c r="P63" s="229"/>
    </row>
    <row r="64" spans="1:16" ht="21" customHeight="1">
      <c r="A64" s="163"/>
      <c r="B64" s="34"/>
      <c r="C64" s="34"/>
      <c r="D64" s="34"/>
      <c r="E64" s="567" t="s">
        <v>108</v>
      </c>
      <c r="F64" s="567"/>
      <c r="G64" s="567"/>
      <c r="H64" s="232"/>
      <c r="I64" s="232"/>
      <c r="J64" s="567" t="s">
        <v>97</v>
      </c>
      <c r="K64" s="567"/>
      <c r="L64" s="567"/>
      <c r="M64" s="220"/>
      <c r="N64" s="219"/>
      <c r="O64" s="34"/>
      <c r="P64" s="229"/>
    </row>
    <row r="65" spans="1:16" ht="21.75">
      <c r="A65" s="163"/>
      <c r="B65" s="34"/>
      <c r="C65" s="34"/>
      <c r="D65" s="34"/>
      <c r="E65" s="219"/>
      <c r="F65" s="220"/>
      <c r="G65" s="220"/>
      <c r="H65" s="219"/>
      <c r="I65" s="219"/>
      <c r="J65" s="567"/>
      <c r="K65" s="567"/>
      <c r="L65" s="567"/>
      <c r="M65" s="220"/>
      <c r="N65" s="219"/>
      <c r="O65" s="34"/>
      <c r="P65" s="229"/>
    </row>
    <row r="66" spans="2:13" ht="21.75">
      <c r="B66" s="230"/>
      <c r="C66" s="230"/>
      <c r="D66" s="230"/>
      <c r="E66" s="230"/>
      <c r="F66" s="230"/>
      <c r="G66" s="230"/>
      <c r="H66" s="230"/>
      <c r="I66" s="230"/>
      <c r="J66" s="230"/>
      <c r="L66" s="230"/>
      <c r="M66" s="230"/>
    </row>
  </sheetData>
  <mergeCells count="26">
    <mergeCell ref="L36:M36"/>
    <mergeCell ref="I36:J36"/>
    <mergeCell ref="J65:L65"/>
    <mergeCell ref="E61:G61"/>
    <mergeCell ref="E63:G63"/>
    <mergeCell ref="E64:G64"/>
    <mergeCell ref="J61:L61"/>
    <mergeCell ref="J63:L63"/>
    <mergeCell ref="J64:L64"/>
    <mergeCell ref="A1:P1"/>
    <mergeCell ref="A2:P2"/>
    <mergeCell ref="A3:P3"/>
    <mergeCell ref="I4:J4"/>
    <mergeCell ref="L4:M4"/>
    <mergeCell ref="B4:C4"/>
    <mergeCell ref="D4:E4"/>
    <mergeCell ref="J34:L34"/>
    <mergeCell ref="A35:P35"/>
    <mergeCell ref="B36:C36"/>
    <mergeCell ref="E30:G30"/>
    <mergeCell ref="E32:G32"/>
    <mergeCell ref="E33:G33"/>
    <mergeCell ref="J30:L30"/>
    <mergeCell ref="J32:L32"/>
    <mergeCell ref="J33:L33"/>
    <mergeCell ref="D36:E36"/>
  </mergeCells>
  <printOptions/>
  <pageMargins left="0.75" right="0.25" top="0" bottom="0" header="0.011811024" footer="0.01"/>
  <pageSetup horizontalDpi="180" verticalDpi="180" orientation="landscape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5"/>
  <sheetViews>
    <sheetView view="pageBreakPreview" zoomScaleSheetLayoutView="100" workbookViewId="0" topLeftCell="A94">
      <selection activeCell="B11" sqref="B11"/>
    </sheetView>
  </sheetViews>
  <sheetFormatPr defaultColWidth="9.140625" defaultRowHeight="21.75"/>
  <cols>
    <col min="1" max="1" width="9.140625" style="91" customWidth="1"/>
    <col min="2" max="2" width="50.8515625" style="91" customWidth="1"/>
    <col min="3" max="4" width="14.7109375" style="91" customWidth="1"/>
    <col min="5" max="5" width="14.7109375" style="454" customWidth="1"/>
    <col min="6" max="16384" width="9.140625" style="91" customWidth="1"/>
  </cols>
  <sheetData>
    <row r="1" spans="1:10" ht="23.25">
      <c r="A1" s="493" t="s">
        <v>56</v>
      </c>
      <c r="B1" s="493"/>
      <c r="C1" s="493"/>
      <c r="D1" s="493"/>
      <c r="E1" s="493"/>
      <c r="F1" s="177"/>
      <c r="G1" s="177"/>
      <c r="H1" s="177"/>
      <c r="I1" s="124"/>
      <c r="J1" s="124"/>
    </row>
    <row r="2" spans="1:8" ht="23.25">
      <c r="A2" s="494" t="s">
        <v>321</v>
      </c>
      <c r="B2" s="494"/>
      <c r="C2" s="494"/>
      <c r="D2" s="494"/>
      <c r="E2" s="494"/>
      <c r="F2" s="177"/>
      <c r="G2" s="177"/>
      <c r="H2" s="177"/>
    </row>
    <row r="3" spans="1:8" ht="23.25">
      <c r="A3" s="494" t="s">
        <v>336</v>
      </c>
      <c r="B3" s="494"/>
      <c r="C3" s="494"/>
      <c r="D3" s="494"/>
      <c r="E3" s="494"/>
      <c r="F3" s="177"/>
      <c r="G3" s="177"/>
      <c r="H3" s="177"/>
    </row>
    <row r="4" spans="1:8" ht="23.25">
      <c r="A4" s="494" t="s">
        <v>122</v>
      </c>
      <c r="B4" s="494"/>
      <c r="C4" s="494"/>
      <c r="D4" s="494"/>
      <c r="E4" s="494"/>
      <c r="F4" s="177"/>
      <c r="G4" s="177"/>
      <c r="H4" s="177"/>
    </row>
    <row r="5" spans="1:10" ht="21">
      <c r="A5" s="184" t="s">
        <v>146</v>
      </c>
      <c r="B5" s="184" t="s">
        <v>26</v>
      </c>
      <c r="C5" s="184" t="s">
        <v>24</v>
      </c>
      <c r="D5" s="184" t="s">
        <v>23</v>
      </c>
      <c r="E5" s="202" t="s">
        <v>151</v>
      </c>
      <c r="F5" s="124"/>
      <c r="G5" s="124"/>
      <c r="H5" s="124"/>
      <c r="I5" s="124"/>
      <c r="J5" s="124"/>
    </row>
    <row r="6" spans="1:10" ht="21">
      <c r="A6" s="190" t="s">
        <v>31</v>
      </c>
      <c r="B6" s="191"/>
      <c r="C6" s="192"/>
      <c r="D6" s="192"/>
      <c r="E6" s="448"/>
      <c r="F6" s="124"/>
      <c r="G6" s="124"/>
      <c r="H6" s="124"/>
      <c r="I6" s="124"/>
      <c r="J6" s="124"/>
    </row>
    <row r="7" spans="1:10" ht="21">
      <c r="A7" s="185">
        <v>1</v>
      </c>
      <c r="B7" s="195" t="s">
        <v>224</v>
      </c>
      <c r="C7" s="196">
        <v>35000</v>
      </c>
      <c r="D7" s="196">
        <v>0</v>
      </c>
      <c r="E7" s="449">
        <f>153.3+10843.4+24570.7</f>
        <v>35567.4</v>
      </c>
      <c r="F7" s="124"/>
      <c r="G7" s="126"/>
      <c r="H7" s="124"/>
      <c r="I7" s="124"/>
      <c r="J7" s="124"/>
    </row>
    <row r="8" spans="1:10" ht="21">
      <c r="A8" s="185">
        <v>2</v>
      </c>
      <c r="B8" s="195" t="s">
        <v>152</v>
      </c>
      <c r="C8" s="196">
        <v>75000</v>
      </c>
      <c r="D8" s="196">
        <v>3667.86</v>
      </c>
      <c r="E8" s="449">
        <f>831.44+4703.03+385.1+5317.57+6739.16+27359.59+9493.28+6395.54+3667.86</f>
        <v>64892.57</v>
      </c>
      <c r="F8" s="124"/>
      <c r="G8" s="126"/>
      <c r="H8" s="124"/>
      <c r="I8" s="124"/>
      <c r="J8" s="124"/>
    </row>
    <row r="9" spans="1:10" ht="21">
      <c r="A9" s="185">
        <v>3</v>
      </c>
      <c r="B9" s="195" t="s">
        <v>236</v>
      </c>
      <c r="C9" s="196">
        <v>500</v>
      </c>
      <c r="D9" s="196">
        <v>0</v>
      </c>
      <c r="E9" s="449">
        <v>400</v>
      </c>
      <c r="F9" s="124"/>
      <c r="G9" s="126"/>
      <c r="H9" s="124"/>
      <c r="I9" s="124"/>
      <c r="J9" s="124"/>
    </row>
    <row r="10" spans="1:10" ht="21">
      <c r="A10" s="195"/>
      <c r="B10" s="197"/>
      <c r="C10" s="202">
        <f>SUM(C7:C9)</f>
        <v>110500</v>
      </c>
      <c r="D10" s="202">
        <f>SUM(D7:D9)</f>
        <v>3667.86</v>
      </c>
      <c r="E10" s="450">
        <f>SUM(E7:E9)</f>
        <v>100859.97</v>
      </c>
      <c r="F10" s="124"/>
      <c r="G10" s="127"/>
      <c r="H10" s="124"/>
      <c r="I10" s="124"/>
      <c r="J10" s="124"/>
    </row>
    <row r="11" spans="1:10" ht="21">
      <c r="A11" s="198" t="s">
        <v>32</v>
      </c>
      <c r="B11" s="197"/>
      <c r="C11" s="201"/>
      <c r="D11" s="201"/>
      <c r="E11" s="451"/>
      <c r="F11" s="124"/>
      <c r="G11" s="126"/>
      <c r="H11" s="124"/>
      <c r="I11" s="124"/>
      <c r="J11" s="124"/>
    </row>
    <row r="12" spans="1:10" ht="21">
      <c r="A12" s="185">
        <v>1</v>
      </c>
      <c r="B12" s="195" t="s">
        <v>237</v>
      </c>
      <c r="C12" s="196">
        <v>500</v>
      </c>
      <c r="D12" s="196">
        <v>0</v>
      </c>
      <c r="E12" s="449">
        <v>163.93</v>
      </c>
      <c r="F12" s="124"/>
      <c r="G12" s="126"/>
      <c r="H12" s="124"/>
      <c r="I12" s="124"/>
      <c r="J12" s="124"/>
    </row>
    <row r="13" spans="1:10" ht="21">
      <c r="A13" s="185">
        <v>2</v>
      </c>
      <c r="B13" s="195" t="s">
        <v>305</v>
      </c>
      <c r="C13" s="196">
        <v>0</v>
      </c>
      <c r="D13" s="196">
        <v>0</v>
      </c>
      <c r="E13" s="449">
        <f>50+50</f>
        <v>100</v>
      </c>
      <c r="F13" s="124"/>
      <c r="G13" s="126"/>
      <c r="H13" s="124"/>
      <c r="I13" s="124"/>
      <c r="J13" s="124"/>
    </row>
    <row r="14" spans="1:10" ht="21">
      <c r="A14" s="185">
        <v>3</v>
      </c>
      <c r="B14" s="195" t="s">
        <v>246</v>
      </c>
      <c r="C14" s="196">
        <v>1000</v>
      </c>
      <c r="D14" s="196">
        <v>0</v>
      </c>
      <c r="E14" s="449">
        <f>180+10+40+10+420</f>
        <v>660</v>
      </c>
      <c r="F14" s="124"/>
      <c r="G14" s="126"/>
      <c r="H14" s="124"/>
      <c r="I14" s="124"/>
      <c r="J14" s="124"/>
    </row>
    <row r="15" spans="1:10" ht="21">
      <c r="A15" s="185">
        <v>4</v>
      </c>
      <c r="B15" s="195" t="s">
        <v>168</v>
      </c>
      <c r="C15" s="196">
        <v>2000</v>
      </c>
      <c r="D15" s="196">
        <v>500</v>
      </c>
      <c r="E15" s="449">
        <f>1200+500</f>
        <v>1700</v>
      </c>
      <c r="F15" s="124"/>
      <c r="G15" s="126"/>
      <c r="H15" s="124"/>
      <c r="I15" s="124"/>
      <c r="J15" s="124"/>
    </row>
    <row r="16" spans="1:10" ht="21">
      <c r="A16" s="185">
        <v>5</v>
      </c>
      <c r="B16" s="195" t="s">
        <v>270</v>
      </c>
      <c r="C16" s="196">
        <v>15000</v>
      </c>
      <c r="D16" s="196">
        <v>0</v>
      </c>
      <c r="E16" s="449">
        <v>0</v>
      </c>
      <c r="F16" s="124"/>
      <c r="G16" s="126"/>
      <c r="H16" s="124"/>
      <c r="I16" s="124"/>
      <c r="J16" s="124"/>
    </row>
    <row r="17" spans="1:10" ht="21">
      <c r="A17" s="185">
        <v>6</v>
      </c>
      <c r="B17" s="195" t="s">
        <v>271</v>
      </c>
      <c r="C17" s="196">
        <v>1000</v>
      </c>
      <c r="D17" s="196">
        <v>0</v>
      </c>
      <c r="E17" s="449">
        <v>0</v>
      </c>
      <c r="F17" s="124"/>
      <c r="G17" s="127"/>
      <c r="H17" s="124"/>
      <c r="I17" s="124"/>
      <c r="J17" s="124"/>
    </row>
    <row r="18" spans="1:10" ht="21">
      <c r="A18" s="185">
        <v>7</v>
      </c>
      <c r="B18" s="195" t="s">
        <v>272</v>
      </c>
      <c r="C18" s="196">
        <v>45000</v>
      </c>
      <c r="D18" s="196">
        <v>760</v>
      </c>
      <c r="E18" s="449">
        <f>2280+1900+3040+1140+3040+2280+1900+1640+760</f>
        <v>17980</v>
      </c>
      <c r="F18" s="124"/>
      <c r="G18" s="127"/>
      <c r="H18" s="124"/>
      <c r="I18" s="124"/>
      <c r="J18" s="124"/>
    </row>
    <row r="19" spans="1:10" ht="21">
      <c r="A19" s="185">
        <v>8</v>
      </c>
      <c r="B19" s="195" t="s">
        <v>169</v>
      </c>
      <c r="C19" s="200">
        <v>30000</v>
      </c>
      <c r="D19" s="200">
        <v>4065</v>
      </c>
      <c r="E19" s="452">
        <f>2280+30+870+1590+2870+10+360+4065</f>
        <v>12075</v>
      </c>
      <c r="F19" s="124"/>
      <c r="G19" s="127"/>
      <c r="H19" s="124"/>
      <c r="I19" s="124"/>
      <c r="J19" s="124"/>
    </row>
    <row r="20" spans="1:10" ht="21">
      <c r="A20" s="185">
        <v>9</v>
      </c>
      <c r="B20" s="195" t="s">
        <v>273</v>
      </c>
      <c r="C20" s="200">
        <v>1000</v>
      </c>
      <c r="D20" s="200">
        <v>0</v>
      </c>
      <c r="E20" s="452">
        <v>0</v>
      </c>
      <c r="F20" s="124"/>
      <c r="G20" s="127"/>
      <c r="H20" s="124"/>
      <c r="I20" s="124"/>
      <c r="J20" s="124"/>
    </row>
    <row r="21" spans="1:10" ht="21">
      <c r="A21" s="185"/>
      <c r="B21" s="195"/>
      <c r="C21" s="200"/>
      <c r="D21" s="200"/>
      <c r="E21" s="452"/>
      <c r="F21" s="124"/>
      <c r="G21" s="127"/>
      <c r="H21" s="124"/>
      <c r="I21" s="124"/>
      <c r="J21" s="124"/>
    </row>
    <row r="22" spans="1:10" ht="21">
      <c r="A22" s="195"/>
      <c r="B22" s="197"/>
      <c r="C22" s="202">
        <f>SUM(C12:C21)</f>
        <v>95500</v>
      </c>
      <c r="D22" s="202">
        <f>SUM(D12:D21)</f>
        <v>5325</v>
      </c>
      <c r="E22" s="450">
        <f>SUM(E12:E21)</f>
        <v>32678.93</v>
      </c>
      <c r="F22" s="124"/>
      <c r="G22" s="127"/>
      <c r="H22" s="124"/>
      <c r="I22" s="124"/>
      <c r="J22" s="124"/>
    </row>
    <row r="23" spans="1:10" ht="21">
      <c r="A23" s="198" t="s">
        <v>33</v>
      </c>
      <c r="B23" s="197"/>
      <c r="C23" s="201"/>
      <c r="D23" s="201"/>
      <c r="E23" s="451"/>
      <c r="F23" s="124"/>
      <c r="G23" s="127"/>
      <c r="H23" s="124"/>
      <c r="I23" s="124"/>
      <c r="J23" s="124"/>
    </row>
    <row r="24" spans="1:10" ht="21">
      <c r="A24" s="185">
        <v>1</v>
      </c>
      <c r="B24" s="195" t="s">
        <v>244</v>
      </c>
      <c r="C24" s="203">
        <v>32000</v>
      </c>
      <c r="D24" s="203">
        <v>0</v>
      </c>
      <c r="E24" s="452">
        <v>9564.48</v>
      </c>
      <c r="F24" s="124"/>
      <c r="G24" s="127"/>
      <c r="H24" s="124"/>
      <c r="I24" s="124"/>
      <c r="J24" s="124"/>
    </row>
    <row r="25" spans="1:10" ht="21">
      <c r="A25" s="195"/>
      <c r="B25" s="197"/>
      <c r="C25" s="202">
        <f>SUM(C24)</f>
        <v>32000</v>
      </c>
      <c r="D25" s="202">
        <f>SUM(D24)</f>
        <v>0</v>
      </c>
      <c r="E25" s="450">
        <f>SUM(E24)</f>
        <v>9564.48</v>
      </c>
      <c r="F25" s="124"/>
      <c r="G25" s="127"/>
      <c r="H25" s="124"/>
      <c r="I25" s="124"/>
      <c r="J25" s="124"/>
    </row>
    <row r="26" spans="1:10" ht="21">
      <c r="A26" s="198" t="s">
        <v>34</v>
      </c>
      <c r="B26" s="197"/>
      <c r="C26" s="201"/>
      <c r="D26" s="201"/>
      <c r="E26" s="451"/>
      <c r="F26" s="124"/>
      <c r="G26" s="127"/>
      <c r="H26" s="124"/>
      <c r="I26" s="124"/>
      <c r="J26" s="124"/>
    </row>
    <row r="27" spans="1:10" ht="21">
      <c r="A27" s="185">
        <v>1</v>
      </c>
      <c r="B27" s="195" t="s">
        <v>274</v>
      </c>
      <c r="C27" s="203">
        <v>200000</v>
      </c>
      <c r="D27" s="203">
        <v>59354</v>
      </c>
      <c r="E27" s="452">
        <f>22176+348+15144+29844+23728+200+3376+59354</f>
        <v>154170</v>
      </c>
      <c r="F27" s="124"/>
      <c r="G27" s="127"/>
      <c r="H27" s="124"/>
      <c r="I27" s="124"/>
      <c r="J27" s="124"/>
    </row>
    <row r="28" spans="1:10" ht="21">
      <c r="A28" s="185"/>
      <c r="B28" s="195"/>
      <c r="C28" s="202">
        <f>SUM(C27)</f>
        <v>200000</v>
      </c>
      <c r="D28" s="202">
        <f>SUM(D27)</f>
        <v>59354</v>
      </c>
      <c r="E28" s="450">
        <f>SUM(E27)</f>
        <v>154170</v>
      </c>
      <c r="F28" s="124"/>
      <c r="G28" s="127"/>
      <c r="H28" s="124"/>
      <c r="I28" s="124"/>
      <c r="J28" s="124"/>
    </row>
    <row r="29" spans="1:10" ht="21">
      <c r="A29" s="198" t="s">
        <v>35</v>
      </c>
      <c r="B29" s="197"/>
      <c r="C29" s="201"/>
      <c r="D29" s="201"/>
      <c r="E29" s="451"/>
      <c r="F29" s="124"/>
      <c r="G29" s="127"/>
      <c r="H29" s="124"/>
      <c r="I29" s="124"/>
      <c r="J29" s="124"/>
    </row>
    <row r="30" spans="1:10" ht="21">
      <c r="A30" s="185">
        <v>1</v>
      </c>
      <c r="B30" s="195" t="s">
        <v>238</v>
      </c>
      <c r="C30" s="203">
        <v>85000</v>
      </c>
      <c r="D30" s="203">
        <v>0</v>
      </c>
      <c r="E30" s="452">
        <v>0</v>
      </c>
      <c r="F30" s="124"/>
      <c r="G30" s="127"/>
      <c r="H30" s="124"/>
      <c r="I30" s="124"/>
      <c r="J30" s="124"/>
    </row>
    <row r="31" spans="1:10" ht="21">
      <c r="A31" s="185">
        <v>2</v>
      </c>
      <c r="B31" s="195" t="s">
        <v>276</v>
      </c>
      <c r="C31" s="203">
        <v>5000</v>
      </c>
      <c r="D31" s="203">
        <v>0</v>
      </c>
      <c r="E31" s="452">
        <v>3523</v>
      </c>
      <c r="F31" s="124"/>
      <c r="G31" s="127"/>
      <c r="H31" s="124"/>
      <c r="I31" s="124"/>
      <c r="J31" s="124"/>
    </row>
    <row r="32" spans="1:10" ht="21">
      <c r="A32" s="463"/>
      <c r="B32" s="464"/>
      <c r="C32" s="202">
        <f>SUM(C30:C31)</f>
        <v>90000</v>
      </c>
      <c r="D32" s="202">
        <f>SUM(D30:D31)</f>
        <v>0</v>
      </c>
      <c r="E32" s="450">
        <f>SUM(E30:E31)</f>
        <v>3523</v>
      </c>
      <c r="F32" s="124"/>
      <c r="G32" s="127"/>
      <c r="H32" s="124"/>
      <c r="I32" s="124"/>
      <c r="J32" s="124"/>
    </row>
    <row r="33" spans="1:10" ht="21">
      <c r="A33" s="304"/>
      <c r="B33" s="460"/>
      <c r="C33" s="461"/>
      <c r="D33" s="461"/>
      <c r="E33" s="462"/>
      <c r="F33" s="124"/>
      <c r="G33" s="127"/>
      <c r="H33" s="124"/>
      <c r="I33" s="124"/>
      <c r="J33" s="124"/>
    </row>
    <row r="34" spans="1:10" ht="21">
      <c r="A34" s="304"/>
      <c r="B34" s="460"/>
      <c r="C34" s="474"/>
      <c r="D34" s="474"/>
      <c r="E34" s="475"/>
      <c r="F34" s="124"/>
      <c r="G34" s="127"/>
      <c r="H34" s="124"/>
      <c r="I34" s="124"/>
      <c r="J34" s="124"/>
    </row>
    <row r="35" spans="1:10" ht="21">
      <c r="A35" s="495" t="s">
        <v>72</v>
      </c>
      <c r="B35" s="495"/>
      <c r="C35" s="495"/>
      <c r="D35" s="495"/>
      <c r="E35" s="495"/>
      <c r="F35" s="124"/>
      <c r="G35" s="127"/>
      <c r="H35" s="124"/>
      <c r="I35" s="124"/>
      <c r="J35" s="124"/>
    </row>
    <row r="36" spans="1:10" ht="21">
      <c r="A36" s="198" t="s">
        <v>36</v>
      </c>
      <c r="B36" s="197"/>
      <c r="C36" s="201"/>
      <c r="D36" s="201"/>
      <c r="E36" s="451"/>
      <c r="F36" s="124"/>
      <c r="G36" s="127"/>
      <c r="H36" s="124"/>
      <c r="I36" s="124"/>
      <c r="J36" s="124"/>
    </row>
    <row r="37" spans="1:10" ht="21">
      <c r="A37" s="185">
        <v>1</v>
      </c>
      <c r="B37" s="195" t="s">
        <v>275</v>
      </c>
      <c r="C37" s="203">
        <v>1500</v>
      </c>
      <c r="D37" s="203">
        <v>0</v>
      </c>
      <c r="E37" s="452">
        <v>0</v>
      </c>
      <c r="F37" s="124"/>
      <c r="G37" s="127"/>
      <c r="H37" s="124"/>
      <c r="I37" s="124"/>
      <c r="J37" s="124"/>
    </row>
    <row r="38" spans="1:10" ht="21">
      <c r="A38" s="398"/>
      <c r="B38" s="399"/>
      <c r="C38" s="202">
        <f>SUM(C37)</f>
        <v>1500</v>
      </c>
      <c r="D38" s="202">
        <f>SUM(D37)</f>
        <v>0</v>
      </c>
      <c r="E38" s="450">
        <f>SUM(E37)</f>
        <v>0</v>
      </c>
      <c r="F38" s="124"/>
      <c r="G38" s="127"/>
      <c r="H38" s="124"/>
      <c r="I38" s="124"/>
      <c r="J38" s="124"/>
    </row>
    <row r="39" spans="1:10" ht="21">
      <c r="A39" s="400" t="s">
        <v>37</v>
      </c>
      <c r="B39" s="401"/>
      <c r="C39" s="402"/>
      <c r="D39" s="402"/>
      <c r="E39" s="453"/>
      <c r="F39" s="124"/>
      <c r="G39" s="127"/>
      <c r="H39" s="124"/>
      <c r="I39" s="124"/>
      <c r="J39" s="124"/>
    </row>
    <row r="40" spans="1:10" ht="21">
      <c r="A40" s="404">
        <v>1</v>
      </c>
      <c r="B40" s="403" t="s">
        <v>277</v>
      </c>
      <c r="C40" s="201">
        <v>1000</v>
      </c>
      <c r="D40" s="201">
        <v>0</v>
      </c>
      <c r="E40" s="451">
        <v>0</v>
      </c>
      <c r="F40" s="124"/>
      <c r="G40" s="127"/>
      <c r="H40" s="124"/>
      <c r="I40" s="124"/>
      <c r="J40" s="124"/>
    </row>
    <row r="41" spans="1:10" ht="21">
      <c r="A41" s="185">
        <v>2</v>
      </c>
      <c r="B41" s="195" t="s">
        <v>166</v>
      </c>
      <c r="C41" s="196">
        <v>4500000</v>
      </c>
      <c r="D41" s="196">
        <v>0</v>
      </c>
      <c r="E41" s="449">
        <f>767423.54+825010.58+951788.99+457100.08</f>
        <v>3001323.1900000004</v>
      </c>
      <c r="F41" s="124"/>
      <c r="G41" s="126"/>
      <c r="H41" s="124"/>
      <c r="I41" s="124"/>
      <c r="J41" s="124"/>
    </row>
    <row r="42" spans="1:10" ht="21">
      <c r="A42" s="185">
        <v>3</v>
      </c>
      <c r="B42" s="195" t="s">
        <v>167</v>
      </c>
      <c r="C42" s="196">
        <v>1600000</v>
      </c>
      <c r="D42" s="196">
        <v>128742.84</v>
      </c>
      <c r="E42" s="449">
        <f>116216.24+99234.22+122853.11+126860.67+97572.32+128404.15+140021.28+128742.84</f>
        <v>959904.8300000001</v>
      </c>
      <c r="F42" s="124"/>
      <c r="G42" s="126"/>
      <c r="H42" s="124"/>
      <c r="I42" s="124"/>
      <c r="J42" s="124"/>
    </row>
    <row r="43" spans="1:10" ht="21">
      <c r="A43" s="185">
        <v>4</v>
      </c>
      <c r="B43" s="195" t="s">
        <v>245</v>
      </c>
      <c r="C43" s="196">
        <v>21000</v>
      </c>
      <c r="D43" s="196">
        <v>0</v>
      </c>
      <c r="E43" s="449">
        <f>11461.9+12667.59</f>
        <v>24129.489999999998</v>
      </c>
      <c r="F43" s="124"/>
      <c r="G43" s="126"/>
      <c r="H43" s="124"/>
      <c r="I43" s="124"/>
      <c r="J43" s="124"/>
    </row>
    <row r="44" spans="1:10" ht="21">
      <c r="A44" s="185">
        <v>5</v>
      </c>
      <c r="B44" s="195" t="s">
        <v>153</v>
      </c>
      <c r="C44" s="196">
        <v>700000</v>
      </c>
      <c r="D44" s="196">
        <v>68159.34</v>
      </c>
      <c r="E44" s="449">
        <f>60804.18+7758.4+119806.36+83717.21+70547.78+73052.78+86424.75+68159.34</f>
        <v>570270.8</v>
      </c>
      <c r="F44" s="124"/>
      <c r="G44" s="126"/>
      <c r="H44" s="124"/>
      <c r="I44" s="124"/>
      <c r="J44" s="124"/>
    </row>
    <row r="45" spans="1:10" ht="21">
      <c r="A45" s="185">
        <v>6</v>
      </c>
      <c r="B45" s="195" t="s">
        <v>154</v>
      </c>
      <c r="C45" s="196">
        <v>2000000</v>
      </c>
      <c r="D45" s="196">
        <v>191284.64</v>
      </c>
      <c r="E45" s="449">
        <f>180442.85+28970.82+310563.66+189656.82+197112.47+183751.65+191555.38+191284.64</f>
        <v>1473338.29</v>
      </c>
      <c r="F45" s="124"/>
      <c r="G45" s="126"/>
      <c r="H45" s="124"/>
      <c r="I45" s="124"/>
      <c r="J45" s="124"/>
    </row>
    <row r="46" spans="1:10" ht="21">
      <c r="A46" s="185">
        <v>7</v>
      </c>
      <c r="B46" s="195" t="s">
        <v>220</v>
      </c>
      <c r="C46" s="200">
        <v>52000</v>
      </c>
      <c r="D46" s="200">
        <v>0</v>
      </c>
      <c r="E46" s="452">
        <f>39148.14+16072.75</f>
        <v>55220.89</v>
      </c>
      <c r="F46" s="124"/>
      <c r="G46" s="126"/>
      <c r="H46" s="124"/>
      <c r="I46" s="124"/>
      <c r="J46" s="124"/>
    </row>
    <row r="47" spans="1:10" ht="21">
      <c r="A47" s="185">
        <v>8</v>
      </c>
      <c r="B47" s="195" t="s">
        <v>221</v>
      </c>
      <c r="C47" s="200">
        <v>37000</v>
      </c>
      <c r="D47" s="200">
        <v>0</v>
      </c>
      <c r="E47" s="452">
        <f>11630.5+10353.7+10636.15</f>
        <v>32620.35</v>
      </c>
      <c r="F47" s="124"/>
      <c r="G47" s="126"/>
      <c r="H47" s="124"/>
      <c r="I47" s="124"/>
      <c r="J47" s="124"/>
    </row>
    <row r="48" spans="1:10" ht="21">
      <c r="A48" s="185">
        <v>9</v>
      </c>
      <c r="B48" s="195" t="s">
        <v>155</v>
      </c>
      <c r="C48" s="200">
        <v>530000</v>
      </c>
      <c r="D48" s="200">
        <v>84204</v>
      </c>
      <c r="E48" s="452">
        <f>58838+41411+35189+28110+20335+29873+21329+19309+84204</f>
        <v>338598</v>
      </c>
      <c r="F48" s="124"/>
      <c r="G48" s="126"/>
      <c r="H48" s="124"/>
      <c r="I48" s="124"/>
      <c r="J48" s="124"/>
    </row>
    <row r="49" spans="1:10" ht="21">
      <c r="A49" s="185">
        <v>10</v>
      </c>
      <c r="B49" s="195" t="s">
        <v>278</v>
      </c>
      <c r="C49" s="200">
        <v>1000</v>
      </c>
      <c r="D49" s="200"/>
      <c r="E49" s="452"/>
      <c r="F49" s="124"/>
      <c r="G49" s="126"/>
      <c r="H49" s="124"/>
      <c r="I49" s="124"/>
      <c r="J49" s="124"/>
    </row>
    <row r="50" spans="1:10" ht="21">
      <c r="A50" s="185"/>
      <c r="B50" s="195"/>
      <c r="C50" s="200"/>
      <c r="D50" s="200"/>
      <c r="E50" s="452"/>
      <c r="F50" s="124"/>
      <c r="G50" s="126"/>
      <c r="H50" s="124"/>
      <c r="I50" s="124"/>
      <c r="J50" s="124"/>
    </row>
    <row r="51" spans="1:10" ht="21">
      <c r="A51" s="195"/>
      <c r="B51" s="197"/>
      <c r="C51" s="202">
        <f>SUM(C40:C50)</f>
        <v>9442000</v>
      </c>
      <c r="D51" s="202">
        <f>SUM(D40:D50)</f>
        <v>472390.82</v>
      </c>
      <c r="E51" s="450">
        <f>SUM(E40:E50)</f>
        <v>6455405.84</v>
      </c>
      <c r="F51" s="124"/>
      <c r="G51" s="127"/>
      <c r="H51" s="124"/>
      <c r="I51" s="124"/>
      <c r="J51" s="124"/>
    </row>
    <row r="52" spans="1:10" ht="21">
      <c r="A52" s="198" t="s">
        <v>132</v>
      </c>
      <c r="B52" s="197"/>
      <c r="C52" s="204"/>
      <c r="D52" s="204"/>
      <c r="E52" s="457"/>
      <c r="F52" s="124"/>
      <c r="G52" s="126"/>
      <c r="H52" s="124"/>
      <c r="I52" s="124"/>
      <c r="J52" s="124"/>
    </row>
    <row r="53" spans="1:10" ht="21">
      <c r="A53" s="185">
        <v>1</v>
      </c>
      <c r="B53" s="195" t="s">
        <v>222</v>
      </c>
      <c r="C53" s="200">
        <v>8071150</v>
      </c>
      <c r="D53" s="200">
        <v>0</v>
      </c>
      <c r="E53" s="452">
        <f>3225116+3225116</f>
        <v>6450232</v>
      </c>
      <c r="F53" s="124"/>
      <c r="G53" s="127"/>
      <c r="H53" s="124"/>
      <c r="I53" s="124"/>
      <c r="J53" s="124"/>
    </row>
    <row r="54" spans="1:10" ht="21">
      <c r="A54" s="185"/>
      <c r="B54" s="195"/>
      <c r="C54" s="245">
        <f>SUM(C53)</f>
        <v>8071150</v>
      </c>
      <c r="D54" s="245">
        <f>SUM(D53)</f>
        <v>0</v>
      </c>
      <c r="E54" s="450">
        <f>SUM(E53)</f>
        <v>6450232</v>
      </c>
      <c r="F54" s="124"/>
      <c r="G54" s="127"/>
      <c r="H54" s="124"/>
      <c r="I54" s="124"/>
      <c r="J54" s="124"/>
    </row>
    <row r="55" spans="1:10" ht="21">
      <c r="A55" s="235" t="s">
        <v>182</v>
      </c>
      <c r="B55" s="204"/>
      <c r="C55" s="204"/>
      <c r="D55" s="204"/>
      <c r="E55" s="451"/>
      <c r="F55" s="124"/>
      <c r="G55" s="126"/>
      <c r="H55" s="124"/>
      <c r="I55" s="124"/>
      <c r="J55" s="124"/>
    </row>
    <row r="56" spans="1:10" ht="21">
      <c r="A56" s="185">
        <v>1</v>
      </c>
      <c r="B56" s="195" t="s">
        <v>292</v>
      </c>
      <c r="C56" s="200"/>
      <c r="D56" s="200">
        <v>0</v>
      </c>
      <c r="E56" s="449">
        <v>33000</v>
      </c>
      <c r="F56" s="124"/>
      <c r="G56" s="127"/>
      <c r="H56" s="124"/>
      <c r="I56" s="124"/>
      <c r="J56" s="124"/>
    </row>
    <row r="57" spans="1:10" ht="21">
      <c r="A57" s="185">
        <v>2</v>
      </c>
      <c r="B57" s="195" t="s">
        <v>293</v>
      </c>
      <c r="C57" s="200"/>
      <c r="D57" s="200">
        <v>0</v>
      </c>
      <c r="E57" s="449">
        <f>279000+279000</f>
        <v>558000</v>
      </c>
      <c r="F57" s="124"/>
      <c r="G57" s="127"/>
      <c r="H57" s="124"/>
      <c r="I57" s="124"/>
      <c r="J57" s="124"/>
    </row>
    <row r="58" spans="1:10" ht="21">
      <c r="A58" s="185">
        <v>3</v>
      </c>
      <c r="B58" s="195" t="s">
        <v>294</v>
      </c>
      <c r="C58" s="200"/>
      <c r="D58" s="200">
        <v>0</v>
      </c>
      <c r="E58" s="449">
        <f>2412000+1698000+126000</f>
        <v>4236000</v>
      </c>
      <c r="F58" s="124"/>
      <c r="G58" s="127"/>
      <c r="H58" s="124"/>
      <c r="I58" s="124"/>
      <c r="J58" s="124"/>
    </row>
    <row r="59" spans="1:10" ht="21">
      <c r="A59" s="185">
        <v>4</v>
      </c>
      <c r="B59" s="195" t="s">
        <v>297</v>
      </c>
      <c r="C59" s="200"/>
      <c r="D59" s="200">
        <v>0</v>
      </c>
      <c r="E59" s="449">
        <v>30000</v>
      </c>
      <c r="F59" s="124"/>
      <c r="G59" s="127"/>
      <c r="H59" s="124"/>
      <c r="I59" s="124"/>
      <c r="J59" s="124"/>
    </row>
    <row r="60" spans="1:10" ht="21">
      <c r="A60" s="185">
        <v>5</v>
      </c>
      <c r="B60" s="195" t="s">
        <v>303</v>
      </c>
      <c r="C60" s="200"/>
      <c r="D60" s="200">
        <v>87402</v>
      </c>
      <c r="E60" s="449">
        <f>315168+78792+78792+213836+87402</f>
        <v>773990</v>
      </c>
      <c r="F60" s="124"/>
      <c r="G60" s="127"/>
      <c r="H60" s="124"/>
      <c r="I60" s="124"/>
      <c r="J60" s="124"/>
    </row>
    <row r="61" spans="1:10" ht="21">
      <c r="A61" s="185"/>
      <c r="B61" s="195"/>
      <c r="C61" s="233"/>
      <c r="D61" s="233"/>
      <c r="E61" s="452"/>
      <c r="F61" s="124"/>
      <c r="G61" s="127"/>
      <c r="H61" s="124"/>
      <c r="I61" s="124"/>
      <c r="J61" s="124"/>
    </row>
    <row r="62" spans="1:10" ht="21">
      <c r="A62" s="195"/>
      <c r="B62" s="197"/>
      <c r="C62" s="205">
        <f>SUM(C56:C61)</f>
        <v>0</v>
      </c>
      <c r="D62" s="205">
        <f>SUM(D56:D61)</f>
        <v>87402</v>
      </c>
      <c r="E62" s="450">
        <f>SUM(E56:E61)</f>
        <v>5630990</v>
      </c>
      <c r="F62" s="124"/>
      <c r="G62" s="127"/>
      <c r="H62" s="124"/>
      <c r="I62" s="124"/>
      <c r="J62" s="124"/>
    </row>
    <row r="63" spans="1:10" ht="21.75" thickBot="1">
      <c r="A63" s="193"/>
      <c r="B63" s="194"/>
      <c r="C63" s="199">
        <f>C10+C22+C25+C28+C32+C38+C51+C54+C62</f>
        <v>18042650</v>
      </c>
      <c r="D63" s="199">
        <f>D10+D22+D25+D28+D32+D38+D51+D54+D62</f>
        <v>628139.68</v>
      </c>
      <c r="E63" s="199">
        <f>E10+E22+E25+E28+E32+E38+E51+E54+E62</f>
        <v>18837424.22</v>
      </c>
      <c r="F63" s="124"/>
      <c r="G63" s="127"/>
      <c r="H63" s="124"/>
      <c r="I63" s="124"/>
      <c r="J63" s="124"/>
    </row>
    <row r="64" spans="1:10" ht="21.75" thickTop="1">
      <c r="A64" s="125"/>
      <c r="B64" s="124"/>
      <c r="C64" s="124"/>
      <c r="D64" s="124"/>
      <c r="E64" s="458"/>
      <c r="F64" s="124"/>
      <c r="G64" s="127"/>
      <c r="H64" s="124"/>
      <c r="I64" s="124"/>
      <c r="J64" s="124"/>
    </row>
    <row r="65" spans="1:10" ht="23.25">
      <c r="A65" s="125"/>
      <c r="B65" s="77"/>
      <c r="C65" s="111" t="s">
        <v>98</v>
      </c>
      <c r="D65" s="77"/>
      <c r="E65" s="458"/>
      <c r="F65" s="124"/>
      <c r="G65" s="127"/>
      <c r="H65" s="124"/>
      <c r="I65" s="124"/>
      <c r="J65" s="124"/>
    </row>
    <row r="66" spans="1:10" ht="23.25">
      <c r="A66" s="125"/>
      <c r="B66" s="77"/>
      <c r="C66" s="111"/>
      <c r="D66" s="77"/>
      <c r="E66" s="458"/>
      <c r="F66" s="124"/>
      <c r="G66" s="127"/>
      <c r="H66" s="124"/>
      <c r="I66" s="124"/>
      <c r="J66" s="124"/>
    </row>
    <row r="67" spans="1:10" ht="23.25">
      <c r="A67" s="125"/>
      <c r="B67" s="77"/>
      <c r="C67" s="111" t="s">
        <v>306</v>
      </c>
      <c r="D67" s="77"/>
      <c r="E67" s="458"/>
      <c r="F67" s="124"/>
      <c r="G67" s="127"/>
      <c r="H67" s="124"/>
      <c r="I67" s="124"/>
      <c r="J67" s="124"/>
    </row>
    <row r="68" spans="3:6" ht="23.25">
      <c r="C68" s="111" t="s">
        <v>97</v>
      </c>
      <c r="F68" s="92"/>
    </row>
    <row r="69" spans="1:8" ht="23.25">
      <c r="A69" s="493" t="s">
        <v>128</v>
      </c>
      <c r="B69" s="493"/>
      <c r="C69" s="493"/>
      <c r="D69" s="493"/>
      <c r="E69" s="493"/>
      <c r="F69" s="177"/>
      <c r="G69" s="177"/>
      <c r="H69" s="177"/>
    </row>
    <row r="70" spans="1:8" ht="23.25">
      <c r="A70" s="494" t="s">
        <v>321</v>
      </c>
      <c r="B70" s="494"/>
      <c r="C70" s="494"/>
      <c r="D70" s="494"/>
      <c r="E70" s="494"/>
      <c r="F70" s="177"/>
      <c r="G70" s="177"/>
      <c r="H70" s="177"/>
    </row>
    <row r="71" spans="1:8" ht="23.25">
      <c r="A71" s="494" t="s">
        <v>337</v>
      </c>
      <c r="B71" s="494"/>
      <c r="C71" s="494"/>
      <c r="D71" s="494"/>
      <c r="E71" s="494"/>
      <c r="F71" s="177"/>
      <c r="G71" s="177"/>
      <c r="H71" s="177"/>
    </row>
    <row r="72" spans="1:8" ht="23.25">
      <c r="A72" s="505" t="s">
        <v>307</v>
      </c>
      <c r="B72" s="505"/>
      <c r="C72" s="505"/>
      <c r="D72" s="505"/>
      <c r="E72" s="501"/>
      <c r="F72" s="177"/>
      <c r="G72" s="177"/>
      <c r="H72" s="177"/>
    </row>
    <row r="73" spans="1:5" s="92" customFormat="1" ht="21">
      <c r="A73" s="184" t="s">
        <v>146</v>
      </c>
      <c r="B73" s="184" t="s">
        <v>26</v>
      </c>
      <c r="C73" s="184" t="s">
        <v>322</v>
      </c>
      <c r="D73" s="184" t="s">
        <v>323</v>
      </c>
      <c r="E73" s="473"/>
    </row>
    <row r="74" spans="1:5" ht="23.25">
      <c r="A74" s="178">
        <v>1</v>
      </c>
      <c r="B74" s="242" t="s">
        <v>309</v>
      </c>
      <c r="C74" s="180">
        <v>0</v>
      </c>
      <c r="D74" s="180">
        <v>0</v>
      </c>
      <c r="E74" s="91"/>
    </row>
    <row r="75" spans="1:5" ht="23.25">
      <c r="A75" s="185">
        <v>2</v>
      </c>
      <c r="B75" s="467" t="s">
        <v>310</v>
      </c>
      <c r="C75" s="187">
        <v>0</v>
      </c>
      <c r="D75" s="187">
        <v>3500</v>
      </c>
      <c r="E75" s="91"/>
    </row>
    <row r="76" spans="1:5" ht="23.25">
      <c r="A76" s="185">
        <v>3</v>
      </c>
      <c r="B76" s="467" t="s">
        <v>311</v>
      </c>
      <c r="C76" s="187">
        <v>0</v>
      </c>
      <c r="D76" s="187">
        <v>20500</v>
      </c>
      <c r="E76" s="91"/>
    </row>
    <row r="77" spans="1:5" ht="23.25">
      <c r="A77" s="185">
        <v>4</v>
      </c>
      <c r="B77" s="467" t="s">
        <v>312</v>
      </c>
      <c r="C77" s="187">
        <v>0</v>
      </c>
      <c r="D77" s="187">
        <v>0</v>
      </c>
      <c r="E77" s="91"/>
    </row>
    <row r="78" spans="1:5" ht="23.25">
      <c r="A78" s="185">
        <v>5</v>
      </c>
      <c r="B78" s="467" t="s">
        <v>313</v>
      </c>
      <c r="C78" s="187">
        <v>87402</v>
      </c>
      <c r="D78" s="187">
        <v>259903</v>
      </c>
      <c r="E78" s="91"/>
    </row>
    <row r="79" spans="1:5" ht="23.25">
      <c r="A79" s="185"/>
      <c r="B79" s="186"/>
      <c r="C79" s="187"/>
      <c r="D79" s="187"/>
      <c r="E79" s="91"/>
    </row>
    <row r="80" spans="1:5" ht="23.25">
      <c r="A80" s="185"/>
      <c r="B80" s="186"/>
      <c r="C80" s="187"/>
      <c r="D80" s="187"/>
      <c r="E80" s="91"/>
    </row>
    <row r="81" spans="1:5" ht="23.25">
      <c r="A81" s="181"/>
      <c r="B81" s="182"/>
      <c r="C81" s="183"/>
      <c r="D81" s="183"/>
      <c r="E81" s="91"/>
    </row>
    <row r="82" spans="3:5" ht="21.75" thickBot="1">
      <c r="C82" s="188">
        <f>SUM(C74:C81)</f>
        <v>87402</v>
      </c>
      <c r="D82" s="188">
        <f>SUM(D74:D81)</f>
        <v>283903</v>
      </c>
      <c r="E82" s="91"/>
    </row>
    <row r="83" spans="3:5" ht="21.75" thickTop="1">
      <c r="C83" s="189"/>
      <c r="D83" s="189"/>
      <c r="E83" s="456"/>
    </row>
    <row r="84" spans="3:5" ht="21">
      <c r="C84" s="189"/>
      <c r="D84" s="189"/>
      <c r="E84" s="456"/>
    </row>
    <row r="85" spans="3:5" ht="21">
      <c r="C85" s="189"/>
      <c r="D85" s="189"/>
      <c r="E85" s="456"/>
    </row>
    <row r="86" spans="3:5" ht="21">
      <c r="C86" s="189"/>
      <c r="D86" s="189"/>
      <c r="E86" s="456"/>
    </row>
    <row r="87" spans="3:5" ht="21">
      <c r="C87" s="189"/>
      <c r="D87" s="189"/>
      <c r="E87" s="456"/>
    </row>
    <row r="88" spans="3:5" ht="21">
      <c r="C88" s="189"/>
      <c r="D88" s="189"/>
      <c r="E88" s="456"/>
    </row>
    <row r="89" spans="3:5" ht="21">
      <c r="C89" s="189"/>
      <c r="D89" s="189"/>
      <c r="E89" s="456"/>
    </row>
    <row r="90" spans="3:5" ht="21">
      <c r="C90" s="189"/>
      <c r="D90" s="189"/>
      <c r="E90" s="456"/>
    </row>
    <row r="91" spans="3:5" ht="21">
      <c r="C91" s="189"/>
      <c r="D91" s="189"/>
      <c r="E91" s="456"/>
    </row>
    <row r="92" spans="3:5" ht="21">
      <c r="C92" s="189"/>
      <c r="D92" s="189"/>
      <c r="E92" s="456"/>
    </row>
    <row r="93" spans="2:5" ht="23.25">
      <c r="B93" s="77"/>
      <c r="C93" s="111" t="s">
        <v>98</v>
      </c>
      <c r="D93" s="77"/>
      <c r="E93" s="456"/>
    </row>
    <row r="94" spans="2:5" ht="23.25">
      <c r="B94" s="77"/>
      <c r="C94" s="111"/>
      <c r="D94" s="77"/>
      <c r="E94" s="456"/>
    </row>
    <row r="95" spans="2:5" ht="23.25">
      <c r="B95" s="77"/>
      <c r="C95" s="77"/>
      <c r="D95" s="77"/>
      <c r="E95" s="456"/>
    </row>
    <row r="96" spans="2:4" ht="23.25">
      <c r="B96" s="77"/>
      <c r="C96" s="111" t="s">
        <v>300</v>
      </c>
      <c r="D96" s="77"/>
    </row>
    <row r="97" spans="2:4" ht="23.25">
      <c r="B97" s="77"/>
      <c r="C97" s="111" t="s">
        <v>97</v>
      </c>
      <c r="D97" s="77"/>
    </row>
    <row r="98" spans="2:4" ht="23.25">
      <c r="B98" s="77"/>
      <c r="C98" s="111"/>
      <c r="D98" s="77"/>
    </row>
    <row r="99" spans="2:4" ht="23.25">
      <c r="B99" s="77"/>
      <c r="C99" s="111"/>
      <c r="D99" s="77"/>
    </row>
    <row r="100" spans="2:4" ht="23.25">
      <c r="B100" s="77"/>
      <c r="C100" s="111"/>
      <c r="D100" s="77"/>
    </row>
    <row r="101" spans="2:4" ht="23.25">
      <c r="B101" s="77"/>
      <c r="C101" s="111"/>
      <c r="D101" s="77"/>
    </row>
    <row r="102" spans="1:8" ht="23.25">
      <c r="A102" s="493" t="s">
        <v>121</v>
      </c>
      <c r="B102" s="493"/>
      <c r="C102" s="493"/>
      <c r="D102" s="493"/>
      <c r="E102" s="493"/>
      <c r="F102" s="177"/>
      <c r="G102" s="177"/>
      <c r="H102" s="177"/>
    </row>
    <row r="103" spans="1:8" ht="23.25">
      <c r="A103" s="494" t="s">
        <v>321</v>
      </c>
      <c r="B103" s="494"/>
      <c r="C103" s="494"/>
      <c r="D103" s="494"/>
      <c r="E103" s="494"/>
      <c r="F103" s="177"/>
      <c r="G103" s="177"/>
      <c r="H103" s="177"/>
    </row>
    <row r="104" spans="1:8" ht="23.25">
      <c r="A104" s="494" t="s">
        <v>337</v>
      </c>
      <c r="B104" s="494"/>
      <c r="C104" s="494"/>
      <c r="D104" s="494"/>
      <c r="E104" s="494"/>
      <c r="F104" s="177"/>
      <c r="G104" s="177"/>
      <c r="H104" s="177"/>
    </row>
    <row r="105" spans="1:8" ht="23.25">
      <c r="A105" s="505" t="s">
        <v>57</v>
      </c>
      <c r="B105" s="505"/>
      <c r="C105" s="505"/>
      <c r="D105" s="505"/>
      <c r="E105" s="501"/>
      <c r="F105" s="177"/>
      <c r="G105" s="177"/>
      <c r="H105" s="177"/>
    </row>
    <row r="106" spans="1:5" s="92" customFormat="1" ht="21">
      <c r="A106" s="184" t="s">
        <v>146</v>
      </c>
      <c r="B106" s="184" t="s">
        <v>26</v>
      </c>
      <c r="C106" s="184" t="s">
        <v>322</v>
      </c>
      <c r="D106" s="184" t="s">
        <v>323</v>
      </c>
      <c r="E106" s="473"/>
    </row>
    <row r="107" spans="1:5" ht="23.25">
      <c r="A107" s="178">
        <v>1</v>
      </c>
      <c r="B107" s="179" t="s">
        <v>140</v>
      </c>
      <c r="C107" s="180">
        <v>11646.18</v>
      </c>
      <c r="D107" s="180">
        <v>1649.67</v>
      </c>
      <c r="E107" s="91"/>
    </row>
    <row r="108" spans="1:5" ht="23.25">
      <c r="A108" s="185">
        <v>2</v>
      </c>
      <c r="B108" s="186" t="s">
        <v>141</v>
      </c>
      <c r="C108" s="187">
        <v>0</v>
      </c>
      <c r="D108" s="187">
        <v>0</v>
      </c>
      <c r="E108" s="91"/>
    </row>
    <row r="109" spans="1:5" ht="23.25">
      <c r="A109" s="185">
        <v>3</v>
      </c>
      <c r="B109" s="186" t="s">
        <v>142</v>
      </c>
      <c r="C109" s="187">
        <v>206.06</v>
      </c>
      <c r="D109" s="187">
        <v>0</v>
      </c>
      <c r="E109" s="91"/>
    </row>
    <row r="110" spans="1:5" ht="23.25">
      <c r="A110" s="185">
        <v>4</v>
      </c>
      <c r="B110" s="186" t="s">
        <v>143</v>
      </c>
      <c r="C110" s="187">
        <v>247.28</v>
      </c>
      <c r="D110" s="187">
        <v>0</v>
      </c>
      <c r="E110" s="91"/>
    </row>
    <row r="111" spans="1:5" ht="23.25">
      <c r="A111" s="185">
        <v>5</v>
      </c>
      <c r="B111" s="186" t="s">
        <v>144</v>
      </c>
      <c r="C111" s="187">
        <v>12513</v>
      </c>
      <c r="D111" s="187">
        <v>0</v>
      </c>
      <c r="E111" s="91"/>
    </row>
    <row r="112" spans="1:5" ht="23.25">
      <c r="A112" s="185">
        <v>6</v>
      </c>
      <c r="B112" s="186" t="s">
        <v>243</v>
      </c>
      <c r="C112" s="187">
        <v>0</v>
      </c>
      <c r="D112" s="187">
        <v>0</v>
      </c>
      <c r="E112" s="91"/>
    </row>
    <row r="113" spans="1:5" ht="23.25">
      <c r="A113" s="185">
        <v>7</v>
      </c>
      <c r="B113" s="186" t="s">
        <v>266</v>
      </c>
      <c r="C113" s="187">
        <v>0</v>
      </c>
      <c r="D113" s="187">
        <v>0</v>
      </c>
      <c r="E113" s="91"/>
    </row>
    <row r="114" spans="1:5" ht="23.25">
      <c r="A114" s="181">
        <v>8</v>
      </c>
      <c r="B114" s="182" t="s">
        <v>145</v>
      </c>
      <c r="C114" s="183">
        <v>0</v>
      </c>
      <c r="D114" s="183">
        <v>0</v>
      </c>
      <c r="E114" s="91"/>
    </row>
    <row r="115" spans="3:5" ht="21.75" thickBot="1">
      <c r="C115" s="188">
        <f>SUM(C107:C114)</f>
        <v>24612.52</v>
      </c>
      <c r="D115" s="188">
        <f>SUM(D107:D114)</f>
        <v>1649.67</v>
      </c>
      <c r="E115" s="91"/>
    </row>
    <row r="116" spans="3:5" ht="21.75" thickTop="1">
      <c r="C116" s="189"/>
      <c r="D116" s="189"/>
      <c r="E116" s="456"/>
    </row>
    <row r="117" spans="3:5" ht="21">
      <c r="C117" s="189"/>
      <c r="D117" s="189"/>
      <c r="E117" s="456"/>
    </row>
    <row r="118" spans="3:5" ht="21">
      <c r="C118" s="189"/>
      <c r="D118" s="189"/>
      <c r="E118" s="456"/>
    </row>
    <row r="119" spans="3:5" ht="21">
      <c r="C119" s="189"/>
      <c r="D119" s="189"/>
      <c r="E119" s="456"/>
    </row>
    <row r="120" spans="3:5" ht="21">
      <c r="C120" s="189"/>
      <c r="D120" s="189"/>
      <c r="E120" s="456"/>
    </row>
    <row r="121" spans="3:5" ht="21">
      <c r="C121" s="189"/>
      <c r="D121" s="189"/>
      <c r="E121" s="456"/>
    </row>
    <row r="122" spans="3:5" ht="21">
      <c r="C122" s="189"/>
      <c r="D122" s="189"/>
      <c r="E122" s="456"/>
    </row>
    <row r="123" spans="2:5" ht="23.25">
      <c r="B123" s="77"/>
      <c r="C123" s="111" t="s">
        <v>98</v>
      </c>
      <c r="D123" s="77"/>
      <c r="E123" s="456"/>
    </row>
    <row r="124" spans="2:5" ht="23.25">
      <c r="B124" s="77"/>
      <c r="C124" s="77"/>
      <c r="D124" s="77"/>
      <c r="E124" s="456"/>
    </row>
    <row r="125" spans="2:4" ht="23.25">
      <c r="B125" s="77"/>
      <c r="C125" s="111" t="s">
        <v>300</v>
      </c>
      <c r="D125" s="77"/>
    </row>
    <row r="126" spans="2:4" ht="23.25">
      <c r="B126" s="77"/>
      <c r="C126" s="111" t="s">
        <v>97</v>
      </c>
      <c r="D126" s="77"/>
    </row>
    <row r="127" spans="2:4" ht="23.25">
      <c r="B127" s="77"/>
      <c r="C127" s="111"/>
      <c r="D127" s="77"/>
    </row>
    <row r="128" spans="2:4" ht="23.25">
      <c r="B128" s="77"/>
      <c r="C128" s="111"/>
      <c r="D128" s="77"/>
    </row>
    <row r="129" spans="2:4" ht="23.25">
      <c r="B129" s="77"/>
      <c r="C129" s="111"/>
      <c r="D129" s="77"/>
    </row>
    <row r="130" spans="2:4" ht="23.25">
      <c r="B130" s="77"/>
      <c r="C130" s="111"/>
      <c r="D130" s="77"/>
    </row>
    <row r="131" spans="2:4" ht="23.25">
      <c r="B131" s="77"/>
      <c r="C131" s="111"/>
      <c r="D131" s="77"/>
    </row>
    <row r="132" spans="2:4" ht="23.25">
      <c r="B132" s="77"/>
      <c r="C132" s="111"/>
      <c r="D132" s="77"/>
    </row>
    <row r="133" spans="2:4" ht="23.25">
      <c r="B133" s="77"/>
      <c r="C133" s="111"/>
      <c r="D133" s="77"/>
    </row>
    <row r="134" spans="2:4" ht="23.25">
      <c r="B134" s="77"/>
      <c r="C134" s="111"/>
      <c r="D134" s="77"/>
    </row>
    <row r="135" spans="2:4" ht="23.25">
      <c r="B135" s="77"/>
      <c r="C135" s="111"/>
      <c r="D135" s="77"/>
    </row>
  </sheetData>
  <mergeCells count="13">
    <mergeCell ref="A1:E1"/>
    <mergeCell ref="A2:E2"/>
    <mergeCell ref="A3:E3"/>
    <mergeCell ref="A4:E4"/>
    <mergeCell ref="A35:E35"/>
    <mergeCell ref="A69:E69"/>
    <mergeCell ref="A70:E70"/>
    <mergeCell ref="A71:E71"/>
    <mergeCell ref="A105:E105"/>
    <mergeCell ref="A72:E72"/>
    <mergeCell ref="A102:E102"/>
    <mergeCell ref="A103:E103"/>
    <mergeCell ref="A104:E104"/>
  </mergeCells>
  <printOptions/>
  <pageMargins left="0.5" right="0.25" top="1" bottom="1" header="0.75" footer="0.7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workbookViewId="0" topLeftCell="A13">
      <selection activeCell="E31" sqref="E31"/>
    </sheetView>
  </sheetViews>
  <sheetFormatPr defaultColWidth="9.140625" defaultRowHeight="21.75"/>
  <cols>
    <col min="1" max="1" width="4.28125" style="77" customWidth="1"/>
    <col min="2" max="4" width="9.140625" style="77" customWidth="1"/>
    <col min="5" max="5" width="19.28125" style="77" customWidth="1"/>
    <col min="6" max="6" width="15.421875" style="77" customWidth="1"/>
    <col min="7" max="7" width="6.421875" style="77" customWidth="1"/>
    <col min="8" max="8" width="15.421875" style="117" customWidth="1"/>
    <col min="9" max="9" width="9.140625" style="77" customWidth="1"/>
    <col min="10" max="10" width="4.28125" style="77" customWidth="1"/>
    <col min="11" max="16384" width="9.140625" style="77" customWidth="1"/>
  </cols>
  <sheetData>
    <row r="1" spans="1:9" ht="23.25">
      <c r="A1" s="494" t="s">
        <v>186</v>
      </c>
      <c r="B1" s="494"/>
      <c r="C1" s="494"/>
      <c r="D1" s="494"/>
      <c r="E1" s="494"/>
      <c r="F1" s="494"/>
      <c r="G1" s="494"/>
      <c r="H1" s="494"/>
      <c r="I1" s="494"/>
    </row>
    <row r="2" spans="1:9" ht="23.25">
      <c r="A2" s="494" t="s">
        <v>187</v>
      </c>
      <c r="B2" s="494"/>
      <c r="C2" s="494"/>
      <c r="D2" s="494"/>
      <c r="E2" s="494"/>
      <c r="F2" s="494"/>
      <c r="G2" s="494"/>
      <c r="H2" s="494"/>
      <c r="I2" s="494"/>
    </row>
    <row r="3" spans="1:9" ht="23.25">
      <c r="A3" s="494" t="s">
        <v>338</v>
      </c>
      <c r="B3" s="494"/>
      <c r="C3" s="494"/>
      <c r="D3" s="494"/>
      <c r="E3" s="494"/>
      <c r="F3" s="494"/>
      <c r="G3" s="494"/>
      <c r="H3" s="494"/>
      <c r="I3" s="494"/>
    </row>
    <row r="4" spans="1:9" ht="23.25">
      <c r="A4" s="90"/>
      <c r="B4" s="90"/>
      <c r="C4" s="90"/>
      <c r="D4" s="90"/>
      <c r="E4" s="90"/>
      <c r="F4" s="90" t="s">
        <v>23</v>
      </c>
      <c r="G4" s="90"/>
      <c r="H4" s="90" t="s">
        <v>151</v>
      </c>
      <c r="I4" s="90"/>
    </row>
    <row r="5" ht="23.25">
      <c r="A5" s="93" t="s">
        <v>188</v>
      </c>
    </row>
    <row r="6" spans="2:9" ht="23.25">
      <c r="B6" s="77" t="s">
        <v>189</v>
      </c>
      <c r="F6" s="117">
        <v>540737.68</v>
      </c>
      <c r="G6" s="117"/>
      <c r="H6" s="117">
        <f>444048.71+195995.97+1398408.91+3691160.47+4515377.16+518531.94+984935.2+917238.18+540737.68</f>
        <v>13206434.219999999</v>
      </c>
      <c r="I6" s="208" t="s">
        <v>28</v>
      </c>
    </row>
    <row r="7" spans="2:9" ht="23.25">
      <c r="B7" s="77" t="s">
        <v>200</v>
      </c>
      <c r="F7" s="117">
        <v>87402</v>
      </c>
      <c r="G7" s="117"/>
      <c r="H7" s="117">
        <f>2724000+30000+315168+78792+78792+1977000+339836+87402</f>
        <v>5630990</v>
      </c>
      <c r="I7" s="208" t="s">
        <v>28</v>
      </c>
    </row>
    <row r="8" spans="2:9" ht="23.25">
      <c r="B8" s="77" t="s">
        <v>190</v>
      </c>
      <c r="F8" s="117">
        <v>24612.52</v>
      </c>
      <c r="G8" s="117"/>
      <c r="H8" s="117">
        <f>7858.05+8859.28+14647.76+2255.18+27347.83+84474.92+2668.13+76063.13+24612.52</f>
        <v>248786.80000000002</v>
      </c>
      <c r="I8" s="208" t="s">
        <v>28</v>
      </c>
    </row>
    <row r="9" spans="2:9" ht="23.25">
      <c r="B9" s="77" t="s">
        <v>214</v>
      </c>
      <c r="F9" s="117">
        <v>0</v>
      </c>
      <c r="G9" s="117"/>
      <c r="H9" s="117">
        <f>15300+26897+185348+51346+50+280+10910</f>
        <v>290131</v>
      </c>
      <c r="I9" s="208" t="s">
        <v>28</v>
      </c>
    </row>
    <row r="10" spans="2:9" ht="23.25">
      <c r="B10" s="77" t="s">
        <v>295</v>
      </c>
      <c r="F10" s="117">
        <v>0</v>
      </c>
      <c r="G10" s="117"/>
      <c r="H10" s="117">
        <f>33000+208720</f>
        <v>241720</v>
      </c>
      <c r="I10" s="208" t="s">
        <v>28</v>
      </c>
    </row>
    <row r="11" spans="2:9" ht="23.25">
      <c r="B11" s="77" t="s">
        <v>215</v>
      </c>
      <c r="F11" s="117">
        <v>0</v>
      </c>
      <c r="G11" s="117"/>
      <c r="H11" s="117">
        <f>1358500+444500+1000+2000</f>
        <v>1806000</v>
      </c>
      <c r="I11" s="208" t="s">
        <v>28</v>
      </c>
    </row>
    <row r="12" spans="2:9" ht="23.25">
      <c r="B12" s="77" t="s">
        <v>296</v>
      </c>
      <c r="F12" s="117">
        <v>0</v>
      </c>
      <c r="G12" s="117"/>
      <c r="H12" s="117">
        <v>13600</v>
      </c>
      <c r="I12" s="208" t="s">
        <v>28</v>
      </c>
    </row>
    <row r="13" spans="2:9" ht="23.25">
      <c r="B13" s="77" t="s">
        <v>315</v>
      </c>
      <c r="F13" s="117">
        <v>10532</v>
      </c>
      <c r="G13" s="117"/>
      <c r="H13" s="117">
        <f>16960+10532</f>
        <v>27492</v>
      </c>
      <c r="I13" s="208" t="s">
        <v>28</v>
      </c>
    </row>
    <row r="14" spans="2:9" ht="23.25">
      <c r="B14" s="77" t="s">
        <v>191</v>
      </c>
      <c r="F14" s="117">
        <v>0</v>
      </c>
      <c r="G14" s="117"/>
      <c r="H14" s="117">
        <f>3000+4801.3</f>
        <v>7801.3</v>
      </c>
      <c r="I14" s="208" t="s">
        <v>28</v>
      </c>
    </row>
    <row r="15" spans="2:9" ht="23.25">
      <c r="B15" s="77" t="s">
        <v>192</v>
      </c>
      <c r="F15" s="117">
        <v>0</v>
      </c>
      <c r="G15" s="117"/>
      <c r="H15" s="117">
        <v>0</v>
      </c>
      <c r="I15" s="208" t="s">
        <v>28</v>
      </c>
    </row>
    <row r="16" spans="5:9" ht="23.25">
      <c r="E16" s="77" t="s">
        <v>193</v>
      </c>
      <c r="F16" s="209">
        <f>SUM(F6:F15)</f>
        <v>663284.2000000001</v>
      </c>
      <c r="G16" s="123"/>
      <c r="H16" s="209">
        <f>SUM(H6:H15)</f>
        <v>21472955.32</v>
      </c>
      <c r="I16" s="208" t="s">
        <v>28</v>
      </c>
    </row>
    <row r="17" spans="1:7" ht="23.25">
      <c r="A17" s="93" t="s">
        <v>43</v>
      </c>
      <c r="F17" s="117"/>
      <c r="G17" s="117"/>
    </row>
    <row r="18" spans="2:9" ht="23.25">
      <c r="B18" s="77" t="s">
        <v>194</v>
      </c>
      <c r="F18" s="117">
        <v>2536769.37</v>
      </c>
      <c r="G18" s="117"/>
      <c r="H18" s="117">
        <f>410890.55+888698.27+869512.86+1562882.77+711103.32+1167478.19+771857.9+714538.34+2536769.37</f>
        <v>9633731.57</v>
      </c>
      <c r="I18" s="208" t="s">
        <v>28</v>
      </c>
    </row>
    <row r="19" spans="2:9" ht="23.25">
      <c r="B19" s="77" t="s">
        <v>201</v>
      </c>
      <c r="F19" s="117">
        <v>283903</v>
      </c>
      <c r="G19" s="117"/>
      <c r="H19" s="117">
        <f>33000+1373500+681180+111548+171332+76925+283903</f>
        <v>2731388</v>
      </c>
      <c r="I19" s="208" t="s">
        <v>28</v>
      </c>
    </row>
    <row r="20" spans="2:9" ht="23.25">
      <c r="B20" s="77" t="s">
        <v>195</v>
      </c>
      <c r="F20" s="117">
        <v>0</v>
      </c>
      <c r="G20" s="117"/>
      <c r="H20" s="117">
        <f>665258.7+4801.3</f>
        <v>670060</v>
      </c>
      <c r="I20" s="208" t="s">
        <v>28</v>
      </c>
    </row>
    <row r="21" spans="2:9" ht="23.25">
      <c r="B21" s="77" t="s">
        <v>239</v>
      </c>
      <c r="F21" s="117">
        <v>0</v>
      </c>
      <c r="G21" s="117"/>
      <c r="H21" s="117">
        <v>0</v>
      </c>
      <c r="I21" s="208"/>
    </row>
    <row r="22" spans="2:9" ht="23.25">
      <c r="B22" s="77" t="s">
        <v>196</v>
      </c>
      <c r="F22" s="117">
        <v>1649.67</v>
      </c>
      <c r="G22" s="117"/>
      <c r="H22" s="117">
        <f>0.01+755.28+3527.76+17893.67+1597.95+1403.89+6137.23+1494.81+1649.67</f>
        <v>34460.27</v>
      </c>
      <c r="I22" s="208" t="s">
        <v>28</v>
      </c>
    </row>
    <row r="23" spans="2:9" ht="23.25">
      <c r="B23" s="77" t="s">
        <v>216</v>
      </c>
      <c r="F23" s="117">
        <v>65288</v>
      </c>
      <c r="G23" s="117"/>
      <c r="H23" s="117">
        <f>27932+111265+88348+86496+86592+105538+89866+154380+65288</f>
        <v>815705</v>
      </c>
      <c r="I23" s="208" t="s">
        <v>28</v>
      </c>
    </row>
    <row r="24" spans="2:9" ht="23.25">
      <c r="B24" s="77" t="s">
        <v>253</v>
      </c>
      <c r="F24" s="117">
        <v>0</v>
      </c>
      <c r="G24" s="117"/>
      <c r="H24" s="117">
        <f>208720+52500</f>
        <v>261220</v>
      </c>
      <c r="I24" s="208"/>
    </row>
    <row r="25" spans="2:9" ht="23.25">
      <c r="B25" s="77" t="s">
        <v>217</v>
      </c>
      <c r="F25" s="117">
        <v>455000</v>
      </c>
      <c r="G25" s="117"/>
      <c r="H25" s="117">
        <f>913000+445500+444500+444011.42+384500+867000+455000</f>
        <v>3953511.42</v>
      </c>
      <c r="I25" s="208" t="s">
        <v>28</v>
      </c>
    </row>
    <row r="26" spans="2:9" ht="23.25">
      <c r="B26" s="77" t="s">
        <v>225</v>
      </c>
      <c r="F26" s="117">
        <v>0</v>
      </c>
      <c r="G26" s="117"/>
      <c r="H26" s="117">
        <v>48000</v>
      </c>
      <c r="I26" s="208" t="s">
        <v>28</v>
      </c>
    </row>
    <row r="27" spans="2:9" ht="23.25">
      <c r="B27" s="77" t="s">
        <v>197</v>
      </c>
      <c r="F27" s="117">
        <v>0</v>
      </c>
      <c r="G27" s="117"/>
      <c r="H27" s="117">
        <f>74500+313064.5</f>
        <v>387564.5</v>
      </c>
      <c r="I27" s="208" t="s">
        <v>28</v>
      </c>
    </row>
    <row r="28" spans="2:9" ht="23.25">
      <c r="B28" s="77" t="s">
        <v>198</v>
      </c>
      <c r="F28" s="117">
        <v>0</v>
      </c>
      <c r="G28" s="117"/>
      <c r="H28" s="117">
        <v>0</v>
      </c>
      <c r="I28" s="208" t="s">
        <v>28</v>
      </c>
    </row>
    <row r="29" spans="5:9" ht="23.25">
      <c r="E29" s="77" t="s">
        <v>193</v>
      </c>
      <c r="F29" s="209">
        <f>SUM(F18:F28)</f>
        <v>3342610.04</v>
      </c>
      <c r="G29" s="117"/>
      <c r="H29" s="209">
        <f>SUM(H18:H28)</f>
        <v>18535640.759999998</v>
      </c>
      <c r="I29" s="208" t="s">
        <v>28</v>
      </c>
    </row>
    <row r="30" spans="2:9" ht="24" thickBot="1">
      <c r="B30" s="77" t="s">
        <v>199</v>
      </c>
      <c r="F30" s="408">
        <f>F16-F29</f>
        <v>-2679325.84</v>
      </c>
      <c r="G30" s="117"/>
      <c r="H30" s="408">
        <f>H16-H29</f>
        <v>2937314.5600000024</v>
      </c>
      <c r="I30" s="208" t="s">
        <v>28</v>
      </c>
    </row>
    <row r="31" spans="6:9" ht="24" thickTop="1">
      <c r="F31" s="409"/>
      <c r="G31" s="117"/>
      <c r="H31" s="409"/>
      <c r="I31" s="208"/>
    </row>
    <row r="32" spans="6:9" ht="23.25">
      <c r="F32" s="117"/>
      <c r="G32" s="117"/>
      <c r="H32" s="123"/>
      <c r="I32" s="208"/>
    </row>
    <row r="33" spans="1:10" s="210" customFormat="1" ht="21.75">
      <c r="A33" s="496" t="s">
        <v>285</v>
      </c>
      <c r="B33" s="496"/>
      <c r="C33" s="496"/>
      <c r="D33" s="496"/>
      <c r="E33" s="496" t="s">
        <v>283</v>
      </c>
      <c r="F33" s="496"/>
      <c r="G33" s="496" t="s">
        <v>284</v>
      </c>
      <c r="H33" s="496"/>
      <c r="I33" s="496"/>
      <c r="J33" s="496"/>
    </row>
    <row r="34" spans="1:10" s="210" customFormat="1" ht="21.75">
      <c r="A34" s="496" t="s">
        <v>300</v>
      </c>
      <c r="B34" s="496"/>
      <c r="C34" s="496"/>
      <c r="D34" s="496"/>
      <c r="E34" s="496" t="s">
        <v>286</v>
      </c>
      <c r="F34" s="496"/>
      <c r="G34" s="496" t="s">
        <v>287</v>
      </c>
      <c r="H34" s="496"/>
      <c r="I34" s="496"/>
      <c r="J34" s="496"/>
    </row>
    <row r="35" spans="1:10" s="210" customFormat="1" ht="21.75">
      <c r="A35" s="496" t="s">
        <v>97</v>
      </c>
      <c r="B35" s="496"/>
      <c r="C35" s="496"/>
      <c r="D35" s="496"/>
      <c r="E35" s="496" t="s">
        <v>280</v>
      </c>
      <c r="F35" s="496"/>
      <c r="G35" s="496" t="s">
        <v>282</v>
      </c>
      <c r="H35" s="496"/>
      <c r="I35" s="496"/>
      <c r="J35" s="496"/>
    </row>
    <row r="36" spans="1:10" s="210" customFormat="1" ht="21.75">
      <c r="A36" s="496"/>
      <c r="B36" s="496"/>
      <c r="C36" s="496"/>
      <c r="D36" s="496"/>
      <c r="E36" s="211"/>
      <c r="F36" s="211"/>
      <c r="G36" s="211"/>
      <c r="H36" s="211"/>
      <c r="I36" s="211"/>
      <c r="J36" s="211"/>
    </row>
  </sheetData>
  <mergeCells count="13">
    <mergeCell ref="G34:J34"/>
    <mergeCell ref="G35:J35"/>
    <mergeCell ref="A36:D36"/>
    <mergeCell ref="E33:F33"/>
    <mergeCell ref="E34:F34"/>
    <mergeCell ref="E35:F35"/>
    <mergeCell ref="A34:D34"/>
    <mergeCell ref="A35:D35"/>
    <mergeCell ref="A1:I1"/>
    <mergeCell ref="A2:I2"/>
    <mergeCell ref="A3:I3"/>
    <mergeCell ref="A33:D33"/>
    <mergeCell ref="G33:J33"/>
  </mergeCells>
  <printOptions/>
  <pageMargins left="0.5" right="0.25" top="0.5" bottom="0.2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SheetLayoutView="100" workbookViewId="0" topLeftCell="A26">
      <selection activeCell="D42" sqref="D42"/>
    </sheetView>
  </sheetViews>
  <sheetFormatPr defaultColWidth="9.140625" defaultRowHeight="21.75"/>
  <cols>
    <col min="1" max="1" width="12.8515625" style="0" customWidth="1"/>
    <col min="3" max="3" width="5.421875" style="0" customWidth="1"/>
    <col min="4" max="4" width="11.140625" style="0" customWidth="1"/>
    <col min="6" max="6" width="6.7109375" style="0" customWidth="1"/>
    <col min="7" max="7" width="13.140625" style="0" bestFit="1" customWidth="1"/>
    <col min="8" max="8" width="8.00390625" style="0" customWidth="1"/>
    <col min="9" max="9" width="17.28125" style="0" hidden="1" customWidth="1"/>
    <col min="10" max="10" width="14.28125" style="0" hidden="1" customWidth="1"/>
    <col min="11" max="11" width="10.7109375" style="0" hidden="1" customWidth="1"/>
    <col min="12" max="12" width="12.57421875" style="0" customWidth="1"/>
    <col min="13" max="13" width="5.7109375" style="0" customWidth="1"/>
    <col min="14" max="14" width="7.28125" style="0" customWidth="1"/>
    <col min="15" max="15" width="9.140625" style="0" hidden="1" customWidth="1"/>
    <col min="16" max="16" width="4.8515625" style="0" customWidth="1"/>
    <col min="17" max="17" width="10.421875" style="0" bestFit="1" customWidth="1"/>
  </cols>
  <sheetData>
    <row r="1" spans="1:10" ht="24">
      <c r="A1" s="1" t="s">
        <v>0</v>
      </c>
      <c r="B1" s="1"/>
      <c r="C1" s="1"/>
      <c r="D1" s="2"/>
      <c r="E1" s="3"/>
      <c r="F1" s="2"/>
      <c r="G1" s="2"/>
      <c r="H1" s="2"/>
      <c r="I1" s="2"/>
      <c r="J1" s="2"/>
    </row>
    <row r="2" spans="1:10" ht="24">
      <c r="A2" s="2"/>
      <c r="B2" s="2"/>
      <c r="C2" s="2"/>
      <c r="D2" s="2"/>
      <c r="E2" s="3"/>
      <c r="F2" s="2" t="s">
        <v>9</v>
      </c>
      <c r="G2" s="2"/>
      <c r="H2" s="2"/>
      <c r="I2" s="2"/>
      <c r="J2" s="2"/>
    </row>
    <row r="3" spans="1:10" ht="26.25">
      <c r="A3" s="1" t="s">
        <v>1</v>
      </c>
      <c r="B3" s="2"/>
      <c r="C3" s="2"/>
      <c r="D3" s="2"/>
      <c r="E3" s="3"/>
      <c r="F3" s="2"/>
      <c r="G3" s="2"/>
      <c r="H3" s="2"/>
      <c r="I3" s="2"/>
      <c r="J3" s="2"/>
    </row>
    <row r="4" spans="1:10" ht="24">
      <c r="A4" s="2"/>
      <c r="B4" s="2"/>
      <c r="C4" s="2"/>
      <c r="D4" s="2"/>
      <c r="E4" s="3"/>
      <c r="F4" s="2" t="s">
        <v>10</v>
      </c>
      <c r="G4" s="2"/>
      <c r="H4" s="2"/>
      <c r="I4" s="4"/>
      <c r="J4" s="2"/>
    </row>
    <row r="5" spans="1:13" ht="24">
      <c r="A5" s="5"/>
      <c r="B5" s="5"/>
      <c r="C5" s="5"/>
      <c r="D5" s="5"/>
      <c r="E5" s="6"/>
      <c r="F5" s="5"/>
      <c r="G5" s="5"/>
      <c r="H5" s="5"/>
      <c r="I5" s="5"/>
      <c r="J5" s="5"/>
      <c r="L5" s="480" t="s">
        <v>3</v>
      </c>
      <c r="M5" s="480"/>
    </row>
    <row r="6" spans="1:13" ht="24">
      <c r="A6" s="1" t="s">
        <v>340</v>
      </c>
      <c r="B6" s="1"/>
      <c r="C6" s="1"/>
      <c r="D6" s="1"/>
      <c r="E6" s="1"/>
      <c r="F6" s="1"/>
      <c r="G6" s="2"/>
      <c r="H6" s="2"/>
      <c r="I6" s="497" t="s">
        <v>2</v>
      </c>
      <c r="J6" s="498"/>
      <c r="L6" s="485">
        <v>9404678.14</v>
      </c>
      <c r="M6" s="486"/>
    </row>
    <row r="7" spans="1:12" ht="24">
      <c r="A7" s="1" t="s">
        <v>4</v>
      </c>
      <c r="B7" s="2"/>
      <c r="C7" s="2"/>
      <c r="D7" s="2"/>
      <c r="E7" s="2"/>
      <c r="F7" s="2"/>
      <c r="G7" s="2"/>
      <c r="H7" s="3"/>
      <c r="I7" s="9"/>
      <c r="K7" s="10"/>
      <c r="L7" s="11"/>
    </row>
    <row r="8" spans="1:13" ht="24">
      <c r="A8" s="2" t="s">
        <v>11</v>
      </c>
      <c r="B8" s="2"/>
      <c r="C8" s="2"/>
      <c r="D8" s="2"/>
      <c r="E8" s="2"/>
      <c r="F8" s="2"/>
      <c r="G8" s="2"/>
      <c r="H8" s="2"/>
      <c r="I8" s="8"/>
      <c r="J8" s="9"/>
      <c r="L8" s="10"/>
      <c r="M8" s="11"/>
    </row>
    <row r="9" spans="1:13" ht="24">
      <c r="A9" s="2" t="s">
        <v>342</v>
      </c>
      <c r="B9" s="2"/>
      <c r="C9" s="2"/>
      <c r="D9" s="2" t="s">
        <v>365</v>
      </c>
      <c r="E9" s="2"/>
      <c r="F9" s="2"/>
      <c r="G9" s="470">
        <v>453645.82</v>
      </c>
      <c r="H9" s="2"/>
      <c r="I9" s="8"/>
      <c r="J9" s="9"/>
      <c r="L9" s="489">
        <v>453645.82</v>
      </c>
      <c r="M9" s="490"/>
    </row>
    <row r="10" spans="1:13" ht="24">
      <c r="A10" s="1" t="s">
        <v>5</v>
      </c>
      <c r="B10" s="2"/>
      <c r="C10" s="2"/>
      <c r="D10" s="2"/>
      <c r="E10" s="2"/>
      <c r="F10" s="2"/>
      <c r="G10" s="2"/>
      <c r="H10" s="2"/>
      <c r="I10" s="8"/>
      <c r="J10" s="9"/>
      <c r="L10" s="10"/>
      <c r="M10" s="11"/>
    </row>
    <row r="11" spans="1:13" ht="24">
      <c r="A11" s="2" t="s">
        <v>12</v>
      </c>
      <c r="B11" s="2"/>
      <c r="C11" s="2"/>
      <c r="D11" s="2"/>
      <c r="E11" s="2"/>
      <c r="F11" s="2"/>
      <c r="G11" s="2"/>
      <c r="H11" s="2"/>
      <c r="I11" s="12">
        <v>7257493.21</v>
      </c>
      <c r="J11" s="9"/>
      <c r="L11" s="483"/>
      <c r="M11" s="484"/>
    </row>
    <row r="12" spans="1:13" ht="13.5" customHeight="1">
      <c r="A12" s="22"/>
      <c r="B12" s="2"/>
      <c r="C12" s="2"/>
      <c r="D12" s="122"/>
      <c r="E12" s="2"/>
      <c r="F12" s="2"/>
      <c r="G12" s="13"/>
      <c r="H12" s="2"/>
      <c r="I12" s="12"/>
      <c r="J12" s="9"/>
      <c r="L12" s="175"/>
      <c r="M12" s="176"/>
    </row>
    <row r="13" spans="1:13" ht="24">
      <c r="A13" s="22" t="s">
        <v>330</v>
      </c>
      <c r="B13" s="2"/>
      <c r="C13" s="2"/>
      <c r="D13" s="122" t="s">
        <v>331</v>
      </c>
      <c r="E13" s="2"/>
      <c r="F13" s="2"/>
      <c r="G13" s="13">
        <v>1430</v>
      </c>
      <c r="H13" s="2"/>
      <c r="I13" s="12"/>
      <c r="J13" s="9"/>
      <c r="L13" s="175"/>
      <c r="M13" s="176"/>
    </row>
    <row r="14" spans="1:13" ht="24">
      <c r="A14" s="22" t="s">
        <v>332</v>
      </c>
      <c r="B14" s="2"/>
      <c r="C14" s="2"/>
      <c r="D14" s="122" t="s">
        <v>333</v>
      </c>
      <c r="E14" s="2"/>
      <c r="F14" s="2"/>
      <c r="G14" s="13">
        <v>2110</v>
      </c>
      <c r="H14" s="2"/>
      <c r="I14" s="12"/>
      <c r="J14" s="9"/>
      <c r="L14" s="175"/>
      <c r="M14" s="176"/>
    </row>
    <row r="15" spans="1:13" ht="24">
      <c r="A15" s="22" t="s">
        <v>347</v>
      </c>
      <c r="B15" s="2"/>
      <c r="C15" s="2"/>
      <c r="D15" s="122" t="s">
        <v>348</v>
      </c>
      <c r="E15" s="2"/>
      <c r="F15" s="2"/>
      <c r="G15" s="13">
        <v>427284</v>
      </c>
      <c r="H15" s="2"/>
      <c r="I15" s="12"/>
      <c r="J15" s="9"/>
      <c r="L15" s="175"/>
      <c r="M15" s="176"/>
    </row>
    <row r="16" spans="1:13" ht="24">
      <c r="A16" s="22" t="s">
        <v>347</v>
      </c>
      <c r="B16" s="2"/>
      <c r="C16" s="2"/>
      <c r="D16" s="122" t="s">
        <v>349</v>
      </c>
      <c r="E16" s="2"/>
      <c r="F16" s="2"/>
      <c r="G16" s="13">
        <v>26719.93</v>
      </c>
      <c r="H16" s="2"/>
      <c r="I16" s="12"/>
      <c r="J16" s="9"/>
      <c r="L16" s="175"/>
      <c r="M16" s="176"/>
    </row>
    <row r="17" spans="1:13" ht="24">
      <c r="A17" s="22" t="s">
        <v>342</v>
      </c>
      <c r="B17" s="2"/>
      <c r="C17" s="2"/>
      <c r="D17" s="122" t="s">
        <v>350</v>
      </c>
      <c r="E17" s="2"/>
      <c r="F17" s="2"/>
      <c r="G17" s="13">
        <v>59586</v>
      </c>
      <c r="H17" s="2"/>
      <c r="I17" s="12"/>
      <c r="J17" s="9"/>
      <c r="L17" s="175"/>
      <c r="M17" s="176"/>
    </row>
    <row r="18" spans="1:13" ht="24">
      <c r="A18" s="22" t="s">
        <v>342</v>
      </c>
      <c r="B18" s="2"/>
      <c r="C18" s="2"/>
      <c r="D18" s="122" t="s">
        <v>351</v>
      </c>
      <c r="E18" s="2"/>
      <c r="F18" s="2"/>
      <c r="G18" s="13">
        <v>3000</v>
      </c>
      <c r="H18" s="2"/>
      <c r="I18" s="12"/>
      <c r="J18" s="9"/>
      <c r="L18" s="175"/>
      <c r="M18" s="176"/>
    </row>
    <row r="19" spans="1:13" ht="24">
      <c r="A19" s="22" t="s">
        <v>342</v>
      </c>
      <c r="B19" s="2"/>
      <c r="C19" s="2"/>
      <c r="D19" s="122" t="s">
        <v>352</v>
      </c>
      <c r="E19" s="2"/>
      <c r="F19" s="2"/>
      <c r="G19" s="13">
        <v>4100</v>
      </c>
      <c r="H19" s="2"/>
      <c r="I19" s="12"/>
      <c r="J19" s="9"/>
      <c r="L19" s="175"/>
      <c r="M19" s="176"/>
    </row>
    <row r="20" spans="1:13" ht="24">
      <c r="A20" s="22" t="s">
        <v>342</v>
      </c>
      <c r="B20" s="2"/>
      <c r="C20" s="2"/>
      <c r="D20" s="122" t="s">
        <v>353</v>
      </c>
      <c r="E20" s="2"/>
      <c r="F20" s="2"/>
      <c r="G20" s="13">
        <v>2254</v>
      </c>
      <c r="H20" s="2"/>
      <c r="I20" s="12"/>
      <c r="J20" s="9"/>
      <c r="L20" s="175"/>
      <c r="M20" s="176"/>
    </row>
    <row r="21" spans="1:13" ht="24">
      <c r="A21" s="22" t="s">
        <v>342</v>
      </c>
      <c r="B21" s="2"/>
      <c r="C21" s="2"/>
      <c r="D21" s="122" t="s">
        <v>354</v>
      </c>
      <c r="E21" s="2"/>
      <c r="F21" s="2"/>
      <c r="G21" s="13">
        <v>5962</v>
      </c>
      <c r="H21" s="2"/>
      <c r="I21" s="12"/>
      <c r="J21" s="9"/>
      <c r="L21" s="175"/>
      <c r="M21" s="176"/>
    </row>
    <row r="22" spans="1:13" ht="24">
      <c r="A22" s="22" t="s">
        <v>342</v>
      </c>
      <c r="B22" s="2"/>
      <c r="C22" s="2"/>
      <c r="D22" s="122" t="s">
        <v>355</v>
      </c>
      <c r="E22" s="2"/>
      <c r="F22" s="2"/>
      <c r="G22" s="13">
        <v>6580</v>
      </c>
      <c r="H22" s="2"/>
      <c r="I22" s="12"/>
      <c r="J22" s="9"/>
      <c r="L22" s="175"/>
      <c r="M22" s="176"/>
    </row>
    <row r="23" spans="1:13" ht="24">
      <c r="A23" s="22" t="s">
        <v>342</v>
      </c>
      <c r="B23" s="2"/>
      <c r="C23" s="2"/>
      <c r="D23" s="122" t="s">
        <v>356</v>
      </c>
      <c r="E23" s="2"/>
      <c r="F23" s="2"/>
      <c r="G23" s="13">
        <v>6002</v>
      </c>
      <c r="H23" s="2"/>
      <c r="I23" s="12"/>
      <c r="J23" s="9"/>
      <c r="L23" s="175"/>
      <c r="M23" s="176"/>
    </row>
    <row r="24" spans="1:13" ht="24">
      <c r="A24" s="22" t="s">
        <v>342</v>
      </c>
      <c r="B24" s="2"/>
      <c r="C24" s="2"/>
      <c r="D24" s="122" t="s">
        <v>357</v>
      </c>
      <c r="E24" s="2"/>
      <c r="F24" s="2"/>
      <c r="G24" s="13">
        <v>7497</v>
      </c>
      <c r="H24" s="2"/>
      <c r="I24" s="12"/>
      <c r="J24" s="9"/>
      <c r="L24" s="175"/>
      <c r="M24" s="176"/>
    </row>
    <row r="25" spans="1:13" ht="24">
      <c r="A25" s="22" t="s">
        <v>342</v>
      </c>
      <c r="B25" s="2"/>
      <c r="C25" s="2"/>
      <c r="D25" s="122" t="s">
        <v>358</v>
      </c>
      <c r="E25" s="2"/>
      <c r="F25" s="2"/>
      <c r="G25" s="13">
        <v>4220</v>
      </c>
      <c r="H25" s="2"/>
      <c r="I25" s="12"/>
      <c r="J25" s="9"/>
      <c r="L25" s="175"/>
      <c r="M25" s="176"/>
    </row>
    <row r="26" spans="1:13" ht="24">
      <c r="A26" s="22" t="s">
        <v>342</v>
      </c>
      <c r="B26" s="2"/>
      <c r="C26" s="2"/>
      <c r="D26" s="122" t="s">
        <v>359</v>
      </c>
      <c r="E26" s="2"/>
      <c r="F26" s="2"/>
      <c r="G26" s="13">
        <v>240</v>
      </c>
      <c r="H26" s="2"/>
      <c r="I26" s="12"/>
      <c r="J26" s="9"/>
      <c r="L26" s="175"/>
      <c r="M26" s="176"/>
    </row>
    <row r="27" spans="1:13" ht="24">
      <c r="A27" s="22" t="s">
        <v>342</v>
      </c>
      <c r="B27" s="2"/>
      <c r="C27" s="2"/>
      <c r="D27" s="122" t="s">
        <v>360</v>
      </c>
      <c r="E27" s="2"/>
      <c r="F27" s="2"/>
      <c r="G27" s="13">
        <v>4142</v>
      </c>
      <c r="H27" s="2"/>
      <c r="I27" s="12"/>
      <c r="J27" s="9"/>
      <c r="L27" s="175"/>
      <c r="M27" s="176"/>
    </row>
    <row r="28" spans="1:13" ht="24">
      <c r="A28" s="22" t="s">
        <v>342</v>
      </c>
      <c r="B28" s="2"/>
      <c r="C28" s="2"/>
      <c r="D28" s="122" t="s">
        <v>361</v>
      </c>
      <c r="E28" s="2"/>
      <c r="F28" s="2"/>
      <c r="G28" s="13">
        <v>840</v>
      </c>
      <c r="H28" s="2"/>
      <c r="I28" s="12"/>
      <c r="J28" s="9"/>
      <c r="L28" s="175"/>
      <c r="M28" s="176"/>
    </row>
    <row r="29" spans="1:13" ht="24">
      <c r="A29" s="22" t="s">
        <v>342</v>
      </c>
      <c r="B29" s="2"/>
      <c r="C29" s="2"/>
      <c r="D29" s="122" t="s">
        <v>362</v>
      </c>
      <c r="E29" s="2"/>
      <c r="F29" s="2"/>
      <c r="G29" s="13">
        <v>840</v>
      </c>
      <c r="H29" s="2"/>
      <c r="I29" s="12"/>
      <c r="J29" s="9"/>
      <c r="L29" s="175"/>
      <c r="M29" s="176"/>
    </row>
    <row r="30" spans="1:13" ht="24">
      <c r="A30" s="22" t="s">
        <v>342</v>
      </c>
      <c r="B30" s="2"/>
      <c r="C30" s="2"/>
      <c r="D30" s="122" t="s">
        <v>363</v>
      </c>
      <c r="E30" s="2"/>
      <c r="F30" s="2"/>
      <c r="G30" s="13">
        <v>840</v>
      </c>
      <c r="H30" s="2"/>
      <c r="I30" s="12"/>
      <c r="J30" s="9"/>
      <c r="L30" s="175"/>
      <c r="M30" s="176"/>
    </row>
    <row r="31" spans="1:13" ht="24">
      <c r="A31" s="22" t="s">
        <v>342</v>
      </c>
      <c r="B31" s="2"/>
      <c r="C31" s="2"/>
      <c r="D31" s="122" t="s">
        <v>364</v>
      </c>
      <c r="E31" s="2"/>
      <c r="F31" s="2"/>
      <c r="G31" s="13">
        <v>25165</v>
      </c>
      <c r="H31" s="2"/>
      <c r="I31" s="8"/>
      <c r="J31" s="9"/>
      <c r="L31" s="487">
        <f>SUM(G12:G31)</f>
        <v>588811.9299999999</v>
      </c>
      <c r="M31" s="488"/>
    </row>
    <row r="32" spans="1:13" ht="12.75" customHeight="1">
      <c r="A32" s="22"/>
      <c r="B32" s="2"/>
      <c r="C32" s="2"/>
      <c r="D32" s="122"/>
      <c r="E32" s="2"/>
      <c r="F32" s="2"/>
      <c r="G32" s="13"/>
      <c r="H32" s="2"/>
      <c r="I32" s="8"/>
      <c r="J32" s="9"/>
      <c r="L32" s="84"/>
      <c r="M32" s="89"/>
    </row>
    <row r="33" spans="1:13" ht="24">
      <c r="A33" s="1" t="s">
        <v>102</v>
      </c>
      <c r="B33" s="1"/>
      <c r="C33" s="1"/>
      <c r="D33" s="1"/>
      <c r="E33" s="2"/>
      <c r="F33" s="2"/>
      <c r="G33" s="2"/>
      <c r="H33" s="2"/>
      <c r="I33" s="8"/>
      <c r="J33" s="9"/>
      <c r="L33" s="14"/>
      <c r="M33" s="11"/>
    </row>
    <row r="34" spans="1:13" ht="24">
      <c r="A34" s="15" t="s">
        <v>6</v>
      </c>
      <c r="B34" s="2"/>
      <c r="C34" s="2"/>
      <c r="D34" s="2"/>
      <c r="E34" s="2"/>
      <c r="F34" s="2"/>
      <c r="G34" s="2"/>
      <c r="H34" s="2"/>
      <c r="I34" s="8"/>
      <c r="J34" s="9"/>
      <c r="L34" s="10"/>
      <c r="M34" s="11"/>
    </row>
    <row r="35" spans="1:13" ht="13.5" customHeight="1">
      <c r="A35" s="15"/>
      <c r="B35" s="2"/>
      <c r="C35" s="2"/>
      <c r="D35" s="2"/>
      <c r="E35" s="2"/>
      <c r="F35" s="2"/>
      <c r="G35" s="2"/>
      <c r="H35" s="2"/>
      <c r="I35" s="8"/>
      <c r="J35" s="9"/>
      <c r="L35" s="10"/>
      <c r="M35" s="11"/>
    </row>
    <row r="36" spans="1:17" ht="24">
      <c r="A36" s="121" t="s">
        <v>366</v>
      </c>
      <c r="B36" s="5"/>
      <c r="C36" s="5"/>
      <c r="D36" s="5"/>
      <c r="E36" s="5"/>
      <c r="F36" s="5"/>
      <c r="G36" s="5"/>
      <c r="H36" s="6"/>
      <c r="I36" s="17">
        <v>7256974.21</v>
      </c>
      <c r="J36" s="9"/>
      <c r="L36" s="481">
        <f>L6+L9-L31</f>
        <v>9269512.030000001</v>
      </c>
      <c r="M36" s="482"/>
      <c r="Q36" s="119"/>
    </row>
    <row r="37" spans="1:10" ht="24">
      <c r="A37" s="1" t="s">
        <v>7</v>
      </c>
      <c r="B37" s="2"/>
      <c r="C37" s="2"/>
      <c r="D37" s="2"/>
      <c r="E37" s="2"/>
      <c r="F37" s="8" t="s">
        <v>8</v>
      </c>
      <c r="G37" s="2"/>
      <c r="H37" s="2"/>
      <c r="I37" s="9"/>
      <c r="J37" s="5"/>
    </row>
    <row r="38" spans="1:10" ht="24">
      <c r="A38" s="2"/>
      <c r="B38" s="2"/>
      <c r="C38" s="2"/>
      <c r="D38" s="2"/>
      <c r="E38" s="2"/>
      <c r="F38" s="8"/>
      <c r="G38" s="2"/>
      <c r="H38" s="2"/>
      <c r="I38" s="2"/>
      <c r="J38" s="9"/>
    </row>
    <row r="39" spans="1:12" ht="24">
      <c r="A39" s="1" t="s">
        <v>114</v>
      </c>
      <c r="B39" s="2"/>
      <c r="C39" s="2"/>
      <c r="D39" s="23" t="s">
        <v>345</v>
      </c>
      <c r="E39" s="2"/>
      <c r="F39" s="24" t="s">
        <v>298</v>
      </c>
      <c r="G39" s="2"/>
      <c r="H39" s="2"/>
      <c r="I39" s="2"/>
      <c r="J39" s="2"/>
      <c r="L39" s="23" t="str">
        <f>D39</f>
        <v>วันที่ 30 มิ.ย. 54</v>
      </c>
    </row>
    <row r="40" spans="1:13" ht="24">
      <c r="A40" s="16" t="s">
        <v>318</v>
      </c>
      <c r="B40" s="5"/>
      <c r="C40" s="5"/>
      <c r="D40" s="5"/>
      <c r="E40" s="5"/>
      <c r="F40" s="410" t="s">
        <v>299</v>
      </c>
      <c r="G40" s="5"/>
      <c r="H40" s="5"/>
      <c r="I40" s="5"/>
      <c r="J40" s="5"/>
      <c r="K40" s="7"/>
      <c r="L40" s="7"/>
      <c r="M40" s="7"/>
    </row>
    <row r="41" spans="1:10" ht="24">
      <c r="A41" s="9"/>
      <c r="B41" s="9"/>
      <c r="C41" s="9"/>
      <c r="D41" s="9"/>
      <c r="E41" s="9"/>
      <c r="F41" s="9"/>
      <c r="G41" s="9"/>
      <c r="H41" s="9"/>
      <c r="I41" s="9"/>
      <c r="J41" s="5"/>
    </row>
    <row r="42" spans="1:9" ht="21.75">
      <c r="A42" s="11"/>
      <c r="B42" s="11"/>
      <c r="C42" s="11"/>
      <c r="D42" s="11"/>
      <c r="E42" s="11"/>
      <c r="F42" s="11"/>
      <c r="G42" s="11"/>
      <c r="H42" s="11"/>
      <c r="I42" s="11"/>
    </row>
  </sheetData>
  <mergeCells count="7">
    <mergeCell ref="I6:J6"/>
    <mergeCell ref="L5:M5"/>
    <mergeCell ref="L36:M36"/>
    <mergeCell ref="L11:M11"/>
    <mergeCell ref="L6:M6"/>
    <mergeCell ref="L31:M31"/>
    <mergeCell ref="L9:M9"/>
  </mergeCells>
  <printOptions/>
  <pageMargins left="0.748031496062992" right="0.25" top="0.31496062992126" bottom="0.15748031496063" header="0.511811023622047" footer="0.15748031496063"/>
  <pageSetup fitToHeight="1" fitToWidth="1" horizontalDpi="180" verticalDpi="18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SheetLayoutView="100" workbookViewId="0" topLeftCell="A4">
      <selection activeCell="E33" sqref="E33"/>
    </sheetView>
  </sheetViews>
  <sheetFormatPr defaultColWidth="9.140625" defaultRowHeight="21.75"/>
  <cols>
    <col min="1" max="1" width="12.8515625" style="0" customWidth="1"/>
    <col min="3" max="3" width="5.421875" style="0" customWidth="1"/>
    <col min="4" max="4" width="11.140625" style="0" customWidth="1"/>
    <col min="6" max="6" width="6.7109375" style="0" customWidth="1"/>
    <col min="7" max="7" width="13.140625" style="0" bestFit="1" customWidth="1"/>
    <col min="8" max="8" width="8.00390625" style="0" customWidth="1"/>
    <col min="9" max="9" width="17.28125" style="0" hidden="1" customWidth="1"/>
    <col min="10" max="10" width="14.28125" style="0" hidden="1" customWidth="1"/>
    <col min="11" max="11" width="10.7109375" style="0" hidden="1" customWidth="1"/>
    <col min="12" max="12" width="12.57421875" style="0" customWidth="1"/>
    <col min="13" max="13" width="5.7109375" style="0" customWidth="1"/>
    <col min="14" max="14" width="7.28125" style="0" customWidth="1"/>
    <col min="15" max="15" width="9.140625" style="0" hidden="1" customWidth="1"/>
    <col min="16" max="16" width="4.8515625" style="0" customWidth="1"/>
    <col min="17" max="17" width="10.421875" style="0" bestFit="1" customWidth="1"/>
  </cols>
  <sheetData>
    <row r="1" spans="1:10" ht="24">
      <c r="A1" s="1" t="s">
        <v>0</v>
      </c>
      <c r="B1" s="1"/>
      <c r="C1" s="1"/>
      <c r="D1" s="2"/>
      <c r="E1" s="3"/>
      <c r="F1" s="2"/>
      <c r="G1" s="2"/>
      <c r="H1" s="2"/>
      <c r="I1" s="2"/>
      <c r="J1" s="2"/>
    </row>
    <row r="2" spans="1:10" ht="24">
      <c r="A2" s="2"/>
      <c r="B2" s="2"/>
      <c r="C2" s="2"/>
      <c r="D2" s="2"/>
      <c r="E2" s="3"/>
      <c r="F2" s="2" t="s">
        <v>9</v>
      </c>
      <c r="G2" s="2"/>
      <c r="H2" s="2"/>
      <c r="I2" s="2"/>
      <c r="J2" s="2"/>
    </row>
    <row r="3" spans="1:10" ht="26.25">
      <c r="A3" s="1" t="s">
        <v>1</v>
      </c>
      <c r="B3" s="2"/>
      <c r="C3" s="2"/>
      <c r="D3" s="2"/>
      <c r="E3" s="3"/>
      <c r="F3" s="2"/>
      <c r="G3" s="2"/>
      <c r="H3" s="2"/>
      <c r="I3" s="2"/>
      <c r="J3" s="2"/>
    </row>
    <row r="4" spans="1:10" ht="24">
      <c r="A4" s="2"/>
      <c r="B4" s="2"/>
      <c r="C4" s="2"/>
      <c r="D4" s="2"/>
      <c r="E4" s="3"/>
      <c r="F4" s="2" t="s">
        <v>367</v>
      </c>
      <c r="G4" s="2"/>
      <c r="H4" s="2"/>
      <c r="I4" s="4"/>
      <c r="J4" s="2"/>
    </row>
    <row r="5" spans="1:13" ht="24">
      <c r="A5" s="5"/>
      <c r="B5" s="5"/>
      <c r="C5" s="5"/>
      <c r="D5" s="5"/>
      <c r="E5" s="6"/>
      <c r="F5" s="5"/>
      <c r="G5" s="5"/>
      <c r="H5" s="5"/>
      <c r="I5" s="5"/>
      <c r="J5" s="5"/>
      <c r="L5" s="480" t="s">
        <v>3</v>
      </c>
      <c r="M5" s="480"/>
    </row>
    <row r="6" spans="1:13" ht="24">
      <c r="A6" s="1" t="s">
        <v>340</v>
      </c>
      <c r="B6" s="1"/>
      <c r="C6" s="1"/>
      <c r="D6" s="1"/>
      <c r="E6" s="1"/>
      <c r="F6" s="1"/>
      <c r="G6" s="2"/>
      <c r="H6" s="2"/>
      <c r="I6" s="497" t="s">
        <v>2</v>
      </c>
      <c r="J6" s="498"/>
      <c r="L6" s="485">
        <v>737408.15</v>
      </c>
      <c r="M6" s="486"/>
    </row>
    <row r="7" spans="1:12" ht="24">
      <c r="A7" s="1" t="s">
        <v>4</v>
      </c>
      <c r="B7" s="2"/>
      <c r="C7" s="2"/>
      <c r="D7" s="2"/>
      <c r="E7" s="2"/>
      <c r="F7" s="2"/>
      <c r="G7" s="2"/>
      <c r="H7" s="3"/>
      <c r="I7" s="9"/>
      <c r="K7" s="10"/>
      <c r="L7" s="11"/>
    </row>
    <row r="8" spans="1:13" ht="24">
      <c r="A8" s="2" t="s">
        <v>11</v>
      </c>
      <c r="B8" s="2"/>
      <c r="C8" s="2"/>
      <c r="D8" s="2"/>
      <c r="E8" s="2"/>
      <c r="F8" s="2"/>
      <c r="G8" s="2"/>
      <c r="H8" s="2"/>
      <c r="I8" s="8"/>
      <c r="J8" s="9"/>
      <c r="L8" s="10"/>
      <c r="M8" s="11"/>
    </row>
    <row r="9" spans="1:13" ht="24">
      <c r="A9" s="2" t="s">
        <v>368</v>
      </c>
      <c r="B9" s="2"/>
      <c r="C9" s="2"/>
      <c r="D9" s="2" t="s">
        <v>369</v>
      </c>
      <c r="E9" s="2"/>
      <c r="F9" s="2"/>
      <c r="G9" s="470">
        <v>4869</v>
      </c>
      <c r="H9" s="2"/>
      <c r="I9" s="8"/>
      <c r="J9" s="9"/>
      <c r="L9" s="489">
        <v>4869</v>
      </c>
      <c r="M9" s="490"/>
    </row>
    <row r="10" spans="1:13" ht="24">
      <c r="A10" s="1" t="s">
        <v>5</v>
      </c>
      <c r="B10" s="2"/>
      <c r="C10" s="2"/>
      <c r="D10" s="2"/>
      <c r="E10" s="2"/>
      <c r="F10" s="2"/>
      <c r="G10" s="2"/>
      <c r="H10" s="2"/>
      <c r="I10" s="8"/>
      <c r="J10" s="9"/>
      <c r="L10" s="10"/>
      <c r="M10" s="11"/>
    </row>
    <row r="11" spans="1:13" ht="24">
      <c r="A11" s="2" t="s">
        <v>12</v>
      </c>
      <c r="B11" s="2"/>
      <c r="C11" s="2"/>
      <c r="D11" s="2"/>
      <c r="E11" s="2"/>
      <c r="F11" s="2"/>
      <c r="G11" s="2"/>
      <c r="H11" s="2"/>
      <c r="I11" s="12">
        <v>7257493.21</v>
      </c>
      <c r="J11" s="9"/>
      <c r="L11" s="483"/>
      <c r="M11" s="484"/>
    </row>
    <row r="12" spans="1:13" ht="13.5" customHeight="1">
      <c r="A12" s="22"/>
      <c r="B12" s="2"/>
      <c r="C12" s="2"/>
      <c r="D12" s="122"/>
      <c r="E12" s="2"/>
      <c r="F12" s="2"/>
      <c r="G12" s="13"/>
      <c r="H12" s="2"/>
      <c r="I12" s="12"/>
      <c r="J12" s="9"/>
      <c r="L12" s="175"/>
      <c r="M12" s="176"/>
    </row>
    <row r="13" spans="1:13" ht="24">
      <c r="A13" s="22"/>
      <c r="B13" s="2"/>
      <c r="C13" s="2"/>
      <c r="D13" s="122"/>
      <c r="E13" s="2"/>
      <c r="F13" s="2"/>
      <c r="G13" s="13"/>
      <c r="H13" s="2"/>
      <c r="I13" s="12"/>
      <c r="J13" s="9"/>
      <c r="L13" s="175"/>
      <c r="M13" s="176"/>
    </row>
    <row r="14" spans="1:13" ht="24">
      <c r="A14" s="22"/>
      <c r="B14" s="2"/>
      <c r="C14" s="2"/>
      <c r="D14" s="122"/>
      <c r="E14" s="2"/>
      <c r="F14" s="2"/>
      <c r="G14" s="13"/>
      <c r="H14" s="2"/>
      <c r="I14" s="12"/>
      <c r="J14" s="9"/>
      <c r="L14" s="175"/>
      <c r="M14" s="176"/>
    </row>
    <row r="15" spans="1:13" ht="24">
      <c r="A15" s="22"/>
      <c r="B15" s="2"/>
      <c r="C15" s="2"/>
      <c r="D15" s="122"/>
      <c r="E15" s="2"/>
      <c r="F15" s="2"/>
      <c r="G15" s="13"/>
      <c r="H15" s="2"/>
      <c r="I15" s="12"/>
      <c r="J15" s="9"/>
      <c r="L15" s="175"/>
      <c r="M15" s="176"/>
    </row>
    <row r="16" spans="1:13" ht="24">
      <c r="A16" s="22"/>
      <c r="B16" s="2"/>
      <c r="C16" s="2"/>
      <c r="D16" s="122"/>
      <c r="E16" s="2"/>
      <c r="F16" s="2"/>
      <c r="G16" s="13"/>
      <c r="H16" s="2"/>
      <c r="I16" s="12"/>
      <c r="J16" s="9"/>
      <c r="L16" s="175"/>
      <c r="M16" s="176"/>
    </row>
    <row r="17" spans="1:13" ht="24">
      <c r="A17" s="22"/>
      <c r="B17" s="2"/>
      <c r="C17" s="2"/>
      <c r="D17" s="122"/>
      <c r="E17" s="2"/>
      <c r="F17" s="2"/>
      <c r="G17" s="13"/>
      <c r="H17" s="2"/>
      <c r="I17" s="12"/>
      <c r="J17" s="9"/>
      <c r="L17" s="175"/>
      <c r="M17" s="176"/>
    </row>
    <row r="18" spans="1:13" ht="24">
      <c r="A18" s="22"/>
      <c r="B18" s="2"/>
      <c r="C18" s="2"/>
      <c r="D18" s="122"/>
      <c r="E18" s="2"/>
      <c r="F18" s="2"/>
      <c r="G18" s="13"/>
      <c r="H18" s="2"/>
      <c r="I18" s="12"/>
      <c r="J18" s="9"/>
      <c r="L18" s="175"/>
      <c r="M18" s="176"/>
    </row>
    <row r="19" spans="1:13" ht="24">
      <c r="A19" s="22"/>
      <c r="B19" s="2"/>
      <c r="C19" s="2"/>
      <c r="D19" s="122"/>
      <c r="E19" s="2"/>
      <c r="F19" s="2"/>
      <c r="G19" s="13"/>
      <c r="H19" s="2"/>
      <c r="I19" s="12"/>
      <c r="J19" s="9"/>
      <c r="L19" s="175"/>
      <c r="M19" s="176"/>
    </row>
    <row r="20" spans="1:13" ht="24">
      <c r="A20" s="22"/>
      <c r="B20" s="2"/>
      <c r="C20" s="2"/>
      <c r="D20" s="122"/>
      <c r="E20" s="2"/>
      <c r="F20" s="2"/>
      <c r="G20" s="13"/>
      <c r="H20" s="2"/>
      <c r="I20" s="12"/>
      <c r="J20" s="9"/>
      <c r="L20" s="175"/>
      <c r="M20" s="176"/>
    </row>
    <row r="21" spans="1:13" ht="24">
      <c r="A21" s="22"/>
      <c r="B21" s="2"/>
      <c r="C21" s="2"/>
      <c r="D21" s="122"/>
      <c r="E21" s="2"/>
      <c r="F21" s="2"/>
      <c r="G21" s="13"/>
      <c r="H21" s="2"/>
      <c r="I21" s="12"/>
      <c r="J21" s="9"/>
      <c r="L21" s="175"/>
      <c r="M21" s="176"/>
    </row>
    <row r="22" spans="1:13" ht="24">
      <c r="A22" s="22"/>
      <c r="B22" s="2"/>
      <c r="C22" s="2"/>
      <c r="D22" s="122"/>
      <c r="E22" s="2"/>
      <c r="F22" s="2"/>
      <c r="G22" s="13"/>
      <c r="H22" s="2"/>
      <c r="I22" s="12"/>
      <c r="J22" s="9"/>
      <c r="L22" s="175"/>
      <c r="M22" s="176"/>
    </row>
    <row r="23" spans="1:13" ht="24">
      <c r="A23" s="22"/>
      <c r="B23" s="2"/>
      <c r="C23" s="2"/>
      <c r="D23" s="122"/>
      <c r="E23" s="2"/>
      <c r="F23" s="2"/>
      <c r="G23" s="13"/>
      <c r="H23" s="2"/>
      <c r="I23" s="12"/>
      <c r="J23" s="9"/>
      <c r="L23" s="175"/>
      <c r="M23" s="176"/>
    </row>
    <row r="24" spans="1:13" ht="24">
      <c r="A24" s="22"/>
      <c r="B24" s="2"/>
      <c r="C24" s="2"/>
      <c r="D24" s="122"/>
      <c r="E24" s="2"/>
      <c r="F24" s="2"/>
      <c r="G24" s="13"/>
      <c r="H24" s="2"/>
      <c r="I24" s="12"/>
      <c r="J24" s="9"/>
      <c r="L24" s="175"/>
      <c r="M24" s="176"/>
    </row>
    <row r="25" spans="1:13" ht="24">
      <c r="A25" s="22"/>
      <c r="B25" s="2"/>
      <c r="C25" s="2"/>
      <c r="D25" s="122"/>
      <c r="E25" s="2"/>
      <c r="F25" s="2"/>
      <c r="G25" s="13"/>
      <c r="H25" s="2"/>
      <c r="I25" s="12"/>
      <c r="J25" s="9"/>
      <c r="L25" s="175"/>
      <c r="M25" s="176"/>
    </row>
    <row r="26" spans="1:13" ht="24">
      <c r="A26" s="22"/>
      <c r="B26" s="2"/>
      <c r="C26" s="2"/>
      <c r="D26" s="122"/>
      <c r="E26" s="2"/>
      <c r="F26" s="2"/>
      <c r="G26" s="13"/>
      <c r="H26" s="2"/>
      <c r="I26" s="12"/>
      <c r="J26" s="9"/>
      <c r="L26" s="175"/>
      <c r="M26" s="176"/>
    </row>
    <row r="27" spans="1:13" ht="24">
      <c r="A27" s="22"/>
      <c r="B27" s="2"/>
      <c r="C27" s="2"/>
      <c r="D27" s="122"/>
      <c r="E27" s="2"/>
      <c r="F27" s="2"/>
      <c r="G27" s="13"/>
      <c r="H27" s="2"/>
      <c r="I27" s="12"/>
      <c r="J27" s="9"/>
      <c r="L27" s="175"/>
      <c r="M27" s="176"/>
    </row>
    <row r="28" spans="1:13" ht="24">
      <c r="A28" s="22"/>
      <c r="B28" s="2"/>
      <c r="C28" s="2"/>
      <c r="D28" s="122"/>
      <c r="E28" s="2"/>
      <c r="F28" s="2"/>
      <c r="G28" s="13"/>
      <c r="H28" s="2"/>
      <c r="I28" s="12"/>
      <c r="J28" s="9"/>
      <c r="L28" s="175"/>
      <c r="M28" s="176"/>
    </row>
    <row r="29" spans="1:13" ht="24">
      <c r="A29" s="22"/>
      <c r="B29" s="2"/>
      <c r="C29" s="2"/>
      <c r="D29" s="122"/>
      <c r="E29" s="2"/>
      <c r="F29" s="2"/>
      <c r="G29" s="13"/>
      <c r="H29" s="2"/>
      <c r="I29" s="12"/>
      <c r="J29" s="9"/>
      <c r="L29" s="175"/>
      <c r="M29" s="176"/>
    </row>
    <row r="30" spans="1:13" ht="24">
      <c r="A30" s="22"/>
      <c r="B30" s="2"/>
      <c r="C30" s="2"/>
      <c r="D30" s="122"/>
      <c r="E30" s="2"/>
      <c r="F30" s="2"/>
      <c r="G30" s="13"/>
      <c r="H30" s="2"/>
      <c r="I30" s="12"/>
      <c r="J30" s="9"/>
      <c r="L30" s="175"/>
      <c r="M30" s="176"/>
    </row>
    <row r="31" spans="1:13" ht="24">
      <c r="A31" s="22"/>
      <c r="B31" s="2"/>
      <c r="C31" s="2"/>
      <c r="D31" s="122"/>
      <c r="E31" s="2"/>
      <c r="F31" s="2"/>
      <c r="G31" s="13"/>
      <c r="H31" s="2"/>
      <c r="I31" s="8"/>
      <c r="J31" s="9"/>
      <c r="L31" s="487"/>
      <c r="M31" s="488"/>
    </row>
    <row r="32" spans="1:13" ht="12.75" customHeight="1">
      <c r="A32" s="22"/>
      <c r="B32" s="2"/>
      <c r="C32" s="2"/>
      <c r="D32" s="122"/>
      <c r="E32" s="2"/>
      <c r="F32" s="2"/>
      <c r="G32" s="13"/>
      <c r="H32" s="2"/>
      <c r="I32" s="8"/>
      <c r="J32" s="9"/>
      <c r="L32" s="84"/>
      <c r="M32" s="89"/>
    </row>
    <row r="33" spans="1:13" ht="24">
      <c r="A33" s="1" t="s">
        <v>102</v>
      </c>
      <c r="B33" s="1"/>
      <c r="C33" s="1"/>
      <c r="D33" s="1"/>
      <c r="E33" s="2"/>
      <c r="F33" s="2"/>
      <c r="G33" s="2"/>
      <c r="H33" s="2"/>
      <c r="I33" s="8"/>
      <c r="J33" s="9"/>
      <c r="L33" s="14"/>
      <c r="M33" s="11"/>
    </row>
    <row r="34" spans="1:13" ht="24">
      <c r="A34" s="15" t="s">
        <v>6</v>
      </c>
      <c r="B34" s="2"/>
      <c r="C34" s="2"/>
      <c r="D34" s="2"/>
      <c r="E34" s="2"/>
      <c r="F34" s="2"/>
      <c r="G34" s="2"/>
      <c r="H34" s="2"/>
      <c r="I34" s="8"/>
      <c r="J34" s="9"/>
      <c r="L34" s="10"/>
      <c r="M34" s="11"/>
    </row>
    <row r="35" spans="1:13" ht="13.5" customHeight="1">
      <c r="A35" s="15"/>
      <c r="B35" s="2"/>
      <c r="C35" s="2"/>
      <c r="D35" s="2"/>
      <c r="E35" s="2"/>
      <c r="F35" s="2"/>
      <c r="G35" s="2"/>
      <c r="H35" s="2"/>
      <c r="I35" s="8"/>
      <c r="J35" s="9"/>
      <c r="L35" s="10"/>
      <c r="M35" s="11"/>
    </row>
    <row r="36" spans="1:17" ht="24">
      <c r="A36" s="121" t="s">
        <v>366</v>
      </c>
      <c r="B36" s="5"/>
      <c r="C36" s="5"/>
      <c r="D36" s="5"/>
      <c r="E36" s="5"/>
      <c r="F36" s="5"/>
      <c r="G36" s="5"/>
      <c r="H36" s="6"/>
      <c r="I36" s="17">
        <v>7256974.21</v>
      </c>
      <c r="J36" s="9"/>
      <c r="L36" s="481">
        <f>L6+L9-L31</f>
        <v>742277.15</v>
      </c>
      <c r="M36" s="482"/>
      <c r="Q36" s="119"/>
    </row>
    <row r="37" spans="1:10" ht="24">
      <c r="A37" s="1" t="s">
        <v>7</v>
      </c>
      <c r="B37" s="2"/>
      <c r="C37" s="2"/>
      <c r="D37" s="2"/>
      <c r="E37" s="2"/>
      <c r="F37" s="8" t="s">
        <v>8</v>
      </c>
      <c r="G37" s="2"/>
      <c r="H37" s="2"/>
      <c r="I37" s="9"/>
      <c r="J37" s="5"/>
    </row>
    <row r="38" spans="1:10" ht="24">
      <c r="A38" s="2"/>
      <c r="B38" s="2"/>
      <c r="C38" s="2"/>
      <c r="D38" s="2"/>
      <c r="E38" s="2"/>
      <c r="F38" s="8"/>
      <c r="G38" s="2"/>
      <c r="H38" s="2"/>
      <c r="I38" s="2"/>
      <c r="J38" s="9"/>
    </row>
    <row r="39" spans="1:12" ht="24">
      <c r="A39" s="1" t="s">
        <v>114</v>
      </c>
      <c r="B39" s="2"/>
      <c r="C39" s="2"/>
      <c r="D39" s="23" t="s">
        <v>345</v>
      </c>
      <c r="E39" s="2"/>
      <c r="F39" s="24" t="s">
        <v>298</v>
      </c>
      <c r="G39" s="2"/>
      <c r="H39" s="2"/>
      <c r="I39" s="2"/>
      <c r="J39" s="2"/>
      <c r="L39" s="23" t="str">
        <f>D39</f>
        <v>วันที่ 30 มิ.ย. 54</v>
      </c>
    </row>
    <row r="40" spans="1:13" ht="24">
      <c r="A40" s="16" t="s">
        <v>318</v>
      </c>
      <c r="B40" s="5"/>
      <c r="C40" s="5"/>
      <c r="D40" s="5"/>
      <c r="E40" s="5"/>
      <c r="F40" s="410" t="s">
        <v>299</v>
      </c>
      <c r="G40" s="5"/>
      <c r="H40" s="5"/>
      <c r="I40" s="5"/>
      <c r="J40" s="5"/>
      <c r="K40" s="7"/>
      <c r="L40" s="7"/>
      <c r="M40" s="7"/>
    </row>
    <row r="41" spans="1:10" ht="24">
      <c r="A41" s="9"/>
      <c r="B41" s="9"/>
      <c r="C41" s="9"/>
      <c r="D41" s="9"/>
      <c r="E41" s="9"/>
      <c r="F41" s="9"/>
      <c r="G41" s="9"/>
      <c r="H41" s="9"/>
      <c r="I41" s="9"/>
      <c r="J41" s="5"/>
    </row>
    <row r="42" spans="1:9" ht="21.75">
      <c r="A42" s="11"/>
      <c r="B42" s="11"/>
      <c r="C42" s="11"/>
      <c r="D42" s="11"/>
      <c r="E42" s="11"/>
      <c r="F42" s="11"/>
      <c r="G42" s="11"/>
      <c r="H42" s="11"/>
      <c r="I42" s="11"/>
    </row>
  </sheetData>
  <mergeCells count="7">
    <mergeCell ref="I6:J6"/>
    <mergeCell ref="L5:M5"/>
    <mergeCell ref="L36:M36"/>
    <mergeCell ref="L11:M11"/>
    <mergeCell ref="L6:M6"/>
    <mergeCell ref="L31:M31"/>
    <mergeCell ref="L9:M9"/>
  </mergeCells>
  <printOptions/>
  <pageMargins left="0.748031496062992" right="0.25" top="0.31496062992126" bottom="0.15748031496063" header="0.511811023622047" footer="0.15748031496063"/>
  <pageSetup fitToHeight="1" fitToWidth="1" horizontalDpi="180" verticalDpi="18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22">
      <selection activeCell="A38" sqref="A38"/>
    </sheetView>
  </sheetViews>
  <sheetFormatPr defaultColWidth="9.140625" defaultRowHeight="21.75"/>
  <cols>
    <col min="1" max="1" width="16.28125" style="0" bestFit="1" customWidth="1"/>
    <col min="4" max="4" width="11.140625" style="0" customWidth="1"/>
    <col min="5" max="5" width="6.7109375" style="0" customWidth="1"/>
    <col min="6" max="6" width="14.57421875" style="0" bestFit="1" customWidth="1"/>
    <col min="7" max="7" width="9.00390625" style="0" customWidth="1"/>
    <col min="8" max="8" width="17.28125" style="0" hidden="1" customWidth="1"/>
    <col min="9" max="9" width="14.28125" style="0" hidden="1" customWidth="1"/>
    <col min="10" max="10" width="10.7109375" style="0" hidden="1" customWidth="1"/>
    <col min="11" max="11" width="12.57421875" style="0" customWidth="1"/>
    <col min="12" max="12" width="5.7109375" style="0" customWidth="1"/>
    <col min="13" max="13" width="7.28125" style="0" customWidth="1"/>
    <col min="14" max="14" width="9.140625" style="0" hidden="1" customWidth="1"/>
    <col min="15" max="15" width="4.8515625" style="0" customWidth="1"/>
    <col min="16" max="16" width="8.7109375" style="0" customWidth="1"/>
  </cols>
  <sheetData>
    <row r="1" spans="1:9" ht="24">
      <c r="A1" s="1" t="s">
        <v>0</v>
      </c>
      <c r="B1" s="1"/>
      <c r="C1" s="1"/>
      <c r="D1" s="2"/>
      <c r="E1" s="8"/>
      <c r="F1" s="2"/>
      <c r="G1" s="2"/>
      <c r="H1" s="2"/>
      <c r="I1" s="2"/>
    </row>
    <row r="2" spans="1:9" ht="24">
      <c r="A2" s="2"/>
      <c r="B2" s="2"/>
      <c r="C2" s="2"/>
      <c r="D2" s="2"/>
      <c r="E2" s="8" t="s">
        <v>110</v>
      </c>
      <c r="F2" s="2"/>
      <c r="G2" s="2"/>
      <c r="H2" s="2"/>
      <c r="I2" s="2"/>
    </row>
    <row r="3" spans="1:9" ht="26.25">
      <c r="A3" s="1" t="s">
        <v>1</v>
      </c>
      <c r="B3" s="2"/>
      <c r="C3" s="2"/>
      <c r="D3" s="2"/>
      <c r="E3" s="8"/>
      <c r="F3" s="2"/>
      <c r="G3" s="2"/>
      <c r="H3" s="2"/>
      <c r="I3" s="2"/>
    </row>
    <row r="4" spans="1:9" ht="24">
      <c r="A4" s="2"/>
      <c r="B4" s="2"/>
      <c r="C4" s="2"/>
      <c r="D4" s="2"/>
      <c r="E4" s="8" t="s">
        <v>111</v>
      </c>
      <c r="F4" s="2"/>
      <c r="G4" s="2"/>
      <c r="H4" s="4"/>
      <c r="I4" s="2"/>
    </row>
    <row r="5" spans="1:12" ht="24">
      <c r="A5" s="5"/>
      <c r="B5" s="5"/>
      <c r="C5" s="5"/>
      <c r="D5" s="5"/>
      <c r="E5" s="18"/>
      <c r="F5" s="5"/>
      <c r="G5" s="5"/>
      <c r="H5" s="5"/>
      <c r="I5" s="5"/>
      <c r="K5" s="480" t="s">
        <v>3</v>
      </c>
      <c r="L5" s="480"/>
    </row>
    <row r="6" spans="1:12" ht="24">
      <c r="A6" s="1" t="s">
        <v>341</v>
      </c>
      <c r="B6" s="1"/>
      <c r="C6" s="1"/>
      <c r="D6" s="1"/>
      <c r="E6" s="1"/>
      <c r="F6" s="2"/>
      <c r="G6" s="2"/>
      <c r="H6" s="497" t="s">
        <v>2</v>
      </c>
      <c r="I6" s="498"/>
      <c r="K6" s="485">
        <v>453645.82</v>
      </c>
      <c r="L6" s="486"/>
    </row>
    <row r="7" spans="1:12" ht="24">
      <c r="A7" s="1" t="s">
        <v>4</v>
      </c>
      <c r="B7" s="2"/>
      <c r="C7" s="2"/>
      <c r="D7" s="2"/>
      <c r="E7" s="2"/>
      <c r="F7" s="2"/>
      <c r="G7" s="2"/>
      <c r="H7" s="8"/>
      <c r="I7" s="9"/>
      <c r="K7" s="10"/>
      <c r="L7" s="11"/>
    </row>
    <row r="8" spans="1:12" ht="24">
      <c r="A8" s="2" t="s">
        <v>11</v>
      </c>
      <c r="B8" s="2"/>
      <c r="C8" s="2"/>
      <c r="D8" s="2"/>
      <c r="E8" s="2"/>
      <c r="F8" s="2"/>
      <c r="G8" s="2"/>
      <c r="H8" s="8"/>
      <c r="I8" s="9"/>
      <c r="K8" s="10"/>
      <c r="L8" s="11"/>
    </row>
    <row r="9" spans="1:12" ht="24">
      <c r="A9" s="2"/>
      <c r="B9" s="2"/>
      <c r="C9" s="2"/>
      <c r="D9" s="2"/>
      <c r="E9" s="2"/>
      <c r="F9" s="2"/>
      <c r="G9" s="2"/>
      <c r="H9" s="8"/>
      <c r="I9" s="9"/>
      <c r="K9" s="10"/>
      <c r="L9" s="11"/>
    </row>
    <row r="10" spans="1:12" ht="24">
      <c r="A10" s="22"/>
      <c r="C10" s="358"/>
      <c r="D10" s="2"/>
      <c r="F10" s="13"/>
      <c r="G10" s="2"/>
      <c r="H10" s="8"/>
      <c r="I10" s="9"/>
      <c r="K10" s="518"/>
      <c r="L10" s="519"/>
    </row>
    <row r="11" spans="1:12" ht="24">
      <c r="A11" s="22"/>
      <c r="B11" s="2"/>
      <c r="C11" s="2"/>
      <c r="D11" s="2"/>
      <c r="E11" s="2"/>
      <c r="F11" s="13"/>
      <c r="G11" s="2"/>
      <c r="H11" s="8"/>
      <c r="I11" s="9"/>
      <c r="K11" s="477"/>
      <c r="L11" s="478"/>
    </row>
    <row r="12" spans="1:12" ht="24">
      <c r="A12" s="1" t="s">
        <v>5</v>
      </c>
      <c r="B12" s="2"/>
      <c r="C12" s="2"/>
      <c r="D12" s="2"/>
      <c r="E12" s="2"/>
      <c r="F12" s="2"/>
      <c r="G12" s="2"/>
      <c r="H12" s="8"/>
      <c r="I12" s="9"/>
      <c r="K12" s="10"/>
      <c r="L12" s="11"/>
    </row>
    <row r="13" spans="1:12" ht="24">
      <c r="A13" s="2" t="s">
        <v>248</v>
      </c>
      <c r="B13" s="2"/>
      <c r="C13" s="2"/>
      <c r="D13" s="120" t="s">
        <v>249</v>
      </c>
      <c r="E13" s="120"/>
      <c r="F13" s="120" t="s">
        <v>125</v>
      </c>
      <c r="G13" s="2"/>
      <c r="H13" s="12">
        <v>7257493.21</v>
      </c>
      <c r="I13" s="9"/>
      <c r="K13" s="483"/>
      <c r="L13" s="484"/>
    </row>
    <row r="14" spans="1:12" ht="24">
      <c r="A14" s="22"/>
      <c r="B14" s="2"/>
      <c r="C14" s="2"/>
      <c r="D14" s="22"/>
      <c r="E14" s="2"/>
      <c r="F14" s="13"/>
      <c r="G14" s="2"/>
      <c r="H14" s="8"/>
      <c r="I14" s="9"/>
      <c r="K14" s="520"/>
      <c r="L14" s="521"/>
    </row>
    <row r="15" spans="1:12" ht="24">
      <c r="A15" s="22"/>
      <c r="C15" s="358"/>
      <c r="D15" s="2"/>
      <c r="F15" s="13"/>
      <c r="G15" s="2"/>
      <c r="H15" s="8"/>
      <c r="I15" s="9"/>
      <c r="K15" s="487"/>
      <c r="L15" s="488"/>
    </row>
    <row r="16" spans="1:12" ht="24">
      <c r="A16" s="22"/>
      <c r="B16" s="2"/>
      <c r="C16" s="2"/>
      <c r="D16" s="2"/>
      <c r="E16" s="2"/>
      <c r="F16" s="13"/>
      <c r="G16" s="2"/>
      <c r="H16" s="8"/>
      <c r="I16" s="9"/>
      <c r="K16" s="487"/>
      <c r="L16" s="488"/>
    </row>
    <row r="17" spans="1:12" ht="24">
      <c r="A17" s="22"/>
      <c r="B17" s="2"/>
      <c r="C17" s="2"/>
      <c r="D17" s="2"/>
      <c r="E17" s="2"/>
      <c r="F17" s="13"/>
      <c r="G17" s="2"/>
      <c r="H17" s="8"/>
      <c r="I17" s="9"/>
      <c r="K17" s="84"/>
      <c r="L17" s="89"/>
    </row>
    <row r="18" spans="1:12" ht="24">
      <c r="A18" s="1" t="s">
        <v>102</v>
      </c>
      <c r="B18" s="1"/>
      <c r="C18" s="1"/>
      <c r="D18" s="1"/>
      <c r="E18" s="2"/>
      <c r="F18" s="2"/>
      <c r="G18" s="2"/>
      <c r="H18" s="8"/>
      <c r="I18" s="9"/>
      <c r="K18" s="14"/>
      <c r="L18" s="11"/>
    </row>
    <row r="19" spans="1:12" ht="24">
      <c r="A19" s="15" t="s">
        <v>6</v>
      </c>
      <c r="B19" s="2"/>
      <c r="C19" s="2"/>
      <c r="D19" s="2"/>
      <c r="E19" s="2"/>
      <c r="F19" s="2"/>
      <c r="G19" s="2"/>
      <c r="H19" s="8"/>
      <c r="I19" s="9"/>
      <c r="K19" s="10"/>
      <c r="L19" s="11"/>
    </row>
    <row r="20" spans="1:12" ht="24">
      <c r="A20" s="15" t="s">
        <v>123</v>
      </c>
      <c r="B20" s="2"/>
      <c r="C20" s="2"/>
      <c r="D20" s="120" t="s">
        <v>124</v>
      </c>
      <c r="E20" s="2"/>
      <c r="F20" s="120" t="s">
        <v>125</v>
      </c>
      <c r="G20" s="2"/>
      <c r="H20" s="8"/>
      <c r="I20" s="9"/>
      <c r="K20" s="10"/>
      <c r="L20" s="11"/>
    </row>
    <row r="21" spans="1:12" ht="24">
      <c r="A21" s="459"/>
      <c r="B21" s="2"/>
      <c r="C21" s="2"/>
      <c r="D21" s="357"/>
      <c r="E21" s="2"/>
      <c r="F21" s="472"/>
      <c r="G21" s="2"/>
      <c r="H21" s="8"/>
      <c r="I21" s="9"/>
      <c r="K21" s="489"/>
      <c r="L21" s="479"/>
    </row>
    <row r="22" spans="1:12" ht="24">
      <c r="A22" s="476" t="s">
        <v>343</v>
      </c>
      <c r="B22" s="2"/>
      <c r="C22" s="2"/>
      <c r="D22" s="2"/>
      <c r="E22" s="2"/>
      <c r="F22" s="2"/>
      <c r="G22" s="2"/>
      <c r="H22" s="8"/>
      <c r="I22" s="9"/>
      <c r="K22" s="10"/>
      <c r="L22" s="11"/>
    </row>
    <row r="23" spans="1:12" ht="24">
      <c r="A23" s="459" t="s">
        <v>317</v>
      </c>
      <c r="B23" s="2"/>
      <c r="C23" s="2"/>
      <c r="D23" s="2" t="s">
        <v>342</v>
      </c>
      <c r="E23" s="2"/>
      <c r="F23" s="471">
        <v>453645.82</v>
      </c>
      <c r="G23" s="2"/>
      <c r="H23" s="8"/>
      <c r="I23" s="9"/>
      <c r="K23" s="489">
        <v>453645.82</v>
      </c>
      <c r="L23" s="479"/>
    </row>
    <row r="24" spans="1:12" ht="24">
      <c r="A24" s="15"/>
      <c r="B24" s="2"/>
      <c r="C24" s="2"/>
      <c r="D24" s="2"/>
      <c r="E24" s="2"/>
      <c r="F24" s="2"/>
      <c r="G24" s="2"/>
      <c r="H24" s="8"/>
      <c r="I24" s="9"/>
      <c r="K24" s="10"/>
      <c r="L24" s="11"/>
    </row>
    <row r="25" spans="1:12" ht="24">
      <c r="A25" s="15"/>
      <c r="B25" s="2"/>
      <c r="C25" s="2"/>
      <c r="D25" s="2"/>
      <c r="E25" s="2"/>
      <c r="F25" s="2"/>
      <c r="G25" s="2"/>
      <c r="H25" s="8"/>
      <c r="I25" s="9"/>
      <c r="K25" s="10"/>
      <c r="L25" s="11"/>
    </row>
    <row r="26" spans="1:12" ht="24">
      <c r="A26" s="15"/>
      <c r="B26" s="2"/>
      <c r="C26" s="2"/>
      <c r="D26" s="2"/>
      <c r="E26" s="2"/>
      <c r="F26" s="2"/>
      <c r="G26" s="2"/>
      <c r="H26" s="8"/>
      <c r="I26" s="9"/>
      <c r="K26" s="10"/>
      <c r="L26" s="11"/>
    </row>
    <row r="27" spans="1:12" ht="24">
      <c r="A27" s="15"/>
      <c r="B27" s="2"/>
      <c r="C27" s="2"/>
      <c r="D27" s="2"/>
      <c r="E27" s="2"/>
      <c r="F27" s="2"/>
      <c r="G27" s="2"/>
      <c r="H27" s="8"/>
      <c r="I27" s="9"/>
      <c r="K27" s="10"/>
      <c r="L27" s="11"/>
    </row>
    <row r="28" spans="1:12" ht="24">
      <c r="A28" s="15"/>
      <c r="B28" s="2"/>
      <c r="C28" s="2"/>
      <c r="D28" s="2"/>
      <c r="E28" s="2"/>
      <c r="F28" s="2"/>
      <c r="G28" s="2"/>
      <c r="H28" s="8"/>
      <c r="I28" s="9"/>
      <c r="K28" s="10"/>
      <c r="L28" s="11"/>
    </row>
    <row r="29" spans="1:12" ht="24">
      <c r="A29" s="2"/>
      <c r="B29" s="2"/>
      <c r="C29" s="2"/>
      <c r="D29" s="2"/>
      <c r="E29" s="2"/>
      <c r="F29" s="2"/>
      <c r="G29" s="2"/>
      <c r="H29" s="8"/>
      <c r="I29" s="9"/>
      <c r="K29" s="10"/>
      <c r="L29" s="11"/>
    </row>
    <row r="30" spans="1:12" ht="24">
      <c r="A30" s="16" t="s">
        <v>344</v>
      </c>
      <c r="B30" s="5"/>
      <c r="C30" s="5"/>
      <c r="D30" s="5"/>
      <c r="E30" s="5"/>
      <c r="F30" s="5"/>
      <c r="G30" s="6"/>
      <c r="H30" s="17">
        <v>7256974.21</v>
      </c>
      <c r="I30" s="9"/>
      <c r="K30" s="481">
        <f>K6+K11-K16-K21-K23</f>
        <v>0</v>
      </c>
      <c r="L30" s="482"/>
    </row>
    <row r="31" spans="1:9" ht="24">
      <c r="A31" s="1" t="s">
        <v>7</v>
      </c>
      <c r="B31" s="2"/>
      <c r="C31" s="2"/>
      <c r="D31" s="2"/>
      <c r="E31" s="8" t="s">
        <v>8</v>
      </c>
      <c r="F31" s="2"/>
      <c r="G31" s="2"/>
      <c r="H31" s="9"/>
      <c r="I31" s="5"/>
    </row>
    <row r="32" spans="1:9" ht="24">
      <c r="A32" s="1"/>
      <c r="B32" s="2"/>
      <c r="C32" s="2"/>
      <c r="D32" s="2"/>
      <c r="E32" s="8"/>
      <c r="F32" s="2"/>
      <c r="G32" s="2"/>
      <c r="H32" s="9"/>
      <c r="I32" s="9"/>
    </row>
    <row r="33" spans="1:9" ht="24">
      <c r="A33" s="2"/>
      <c r="B33" s="2"/>
      <c r="C33" s="2"/>
      <c r="D33" s="2"/>
      <c r="E33" s="8"/>
      <c r="F33" s="2"/>
      <c r="G33" s="2"/>
      <c r="H33" s="2"/>
      <c r="I33" s="9"/>
    </row>
    <row r="34" spans="1:11" ht="24">
      <c r="A34" s="1" t="s">
        <v>133</v>
      </c>
      <c r="B34" s="2"/>
      <c r="C34" s="23" t="s">
        <v>345</v>
      </c>
      <c r="D34" s="23"/>
      <c r="E34" s="24" t="s">
        <v>298</v>
      </c>
      <c r="F34" s="2"/>
      <c r="G34" s="2"/>
      <c r="H34" s="2"/>
      <c r="I34" s="2"/>
      <c r="K34" s="23" t="str">
        <f>C34</f>
        <v>วันที่ 30 มิ.ย. 54</v>
      </c>
    </row>
    <row r="35" spans="1:12" ht="24">
      <c r="A35" s="16" t="s">
        <v>346</v>
      </c>
      <c r="B35" s="5"/>
      <c r="C35" s="5"/>
      <c r="D35" s="5"/>
      <c r="E35" s="410" t="s">
        <v>316</v>
      </c>
      <c r="F35" s="5"/>
      <c r="G35" s="5"/>
      <c r="H35" s="5"/>
      <c r="I35" s="5"/>
      <c r="J35" s="7"/>
      <c r="K35" s="7"/>
      <c r="L35" s="7"/>
    </row>
    <row r="36" spans="1:9" ht="24">
      <c r="A36" s="9"/>
      <c r="B36" s="9"/>
      <c r="C36" s="9"/>
      <c r="D36" s="9"/>
      <c r="E36" s="9"/>
      <c r="F36" s="9"/>
      <c r="G36" s="9"/>
      <c r="H36" s="9"/>
      <c r="I36" s="5"/>
    </row>
    <row r="37" spans="1:8" ht="21.75">
      <c r="A37" s="11"/>
      <c r="B37" s="11"/>
      <c r="C37" s="11"/>
      <c r="D37" s="11"/>
      <c r="E37" s="11"/>
      <c r="F37" s="11"/>
      <c r="G37" s="11"/>
      <c r="H37" s="11"/>
    </row>
  </sheetData>
  <mergeCells count="12">
    <mergeCell ref="H6:I6"/>
    <mergeCell ref="K14:L14"/>
    <mergeCell ref="K5:L5"/>
    <mergeCell ref="K23:L23"/>
    <mergeCell ref="K30:L30"/>
    <mergeCell ref="K13:L13"/>
    <mergeCell ref="K6:L6"/>
    <mergeCell ref="K15:L15"/>
    <mergeCell ref="K11:L11"/>
    <mergeCell ref="K16:L16"/>
    <mergeCell ref="K21:L21"/>
    <mergeCell ref="K10:L10"/>
  </mergeCells>
  <printOptions/>
  <pageMargins left="0.7480314960629921" right="0.5905511811023623" top="0.31496062992125984" bottom="0.15748031496062992" header="0.5118110236220472" footer="0.15748031496062992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38"/>
  <sheetViews>
    <sheetView view="pageBreakPreview" zoomScaleSheetLayoutView="100" workbookViewId="0" topLeftCell="A1">
      <selection activeCell="A35" sqref="A35"/>
    </sheetView>
  </sheetViews>
  <sheetFormatPr defaultColWidth="9.140625" defaultRowHeight="21.75"/>
  <cols>
    <col min="1" max="1" width="48.421875" style="77" customWidth="1"/>
    <col min="2" max="2" width="9.28125" style="111" customWidth="1"/>
    <col min="3" max="3" width="14.7109375" style="77" customWidth="1"/>
    <col min="4" max="4" width="4.7109375" style="77" customWidth="1"/>
    <col min="5" max="5" width="14.7109375" style="77" customWidth="1"/>
    <col min="6" max="6" width="4.7109375" style="77" customWidth="1"/>
    <col min="7" max="16384" width="9.140625" style="77" customWidth="1"/>
  </cols>
  <sheetData>
    <row r="1" spans="1:6" ht="23.25">
      <c r="A1" s="494" t="s">
        <v>58</v>
      </c>
      <c r="B1" s="494"/>
      <c r="C1" s="494"/>
      <c r="D1" s="494"/>
      <c r="E1" s="494"/>
      <c r="F1" s="494"/>
    </row>
    <row r="2" spans="1:6" ht="23.25">
      <c r="A2" s="494" t="s">
        <v>59</v>
      </c>
      <c r="B2" s="494"/>
      <c r="C2" s="494"/>
      <c r="D2" s="494"/>
      <c r="E2" s="494"/>
      <c r="F2" s="494"/>
    </row>
    <row r="3" spans="1:42" ht="23.25">
      <c r="A3" s="505" t="s">
        <v>339</v>
      </c>
      <c r="B3" s="505"/>
      <c r="C3" s="505"/>
      <c r="D3" s="505"/>
      <c r="E3" s="505"/>
      <c r="F3" s="505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411"/>
      <c r="AI3" s="411"/>
      <c r="AJ3" s="411"/>
      <c r="AK3" s="411"/>
      <c r="AL3" s="411"/>
      <c r="AM3" s="411"/>
      <c r="AN3" s="411"/>
      <c r="AO3" s="411"/>
      <c r="AP3" s="411"/>
    </row>
    <row r="4" spans="1:42" ht="23.25" customHeight="1">
      <c r="A4" s="523" t="s">
        <v>26</v>
      </c>
      <c r="B4" s="525" t="s">
        <v>60</v>
      </c>
      <c r="C4" s="523" t="s">
        <v>61</v>
      </c>
      <c r="D4" s="523"/>
      <c r="E4" s="527" t="s">
        <v>62</v>
      </c>
      <c r="F4" s="528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1"/>
      <c r="AF4" s="411"/>
      <c r="AG4" s="411"/>
      <c r="AH4" s="411"/>
      <c r="AI4" s="411"/>
      <c r="AJ4" s="411"/>
      <c r="AK4" s="411"/>
      <c r="AL4" s="411"/>
      <c r="AM4" s="411"/>
      <c r="AN4" s="411"/>
      <c r="AO4" s="411"/>
      <c r="AP4" s="411"/>
    </row>
    <row r="5" spans="1:42" ht="23.25">
      <c r="A5" s="524"/>
      <c r="B5" s="526"/>
      <c r="C5" s="524"/>
      <c r="D5" s="524"/>
      <c r="E5" s="529"/>
      <c r="F5" s="530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  <c r="AF5" s="411"/>
      <c r="AG5" s="411"/>
      <c r="AH5" s="411"/>
      <c r="AI5" s="411"/>
      <c r="AJ5" s="411"/>
      <c r="AK5" s="411"/>
      <c r="AL5" s="411"/>
      <c r="AM5" s="411"/>
      <c r="AN5" s="411"/>
      <c r="AO5" s="411"/>
      <c r="AP5" s="411"/>
    </row>
    <row r="6" spans="1:42" ht="23.25">
      <c r="A6" s="412" t="s">
        <v>126</v>
      </c>
      <c r="B6" s="413" t="s">
        <v>134</v>
      </c>
      <c r="C6" s="414">
        <v>0</v>
      </c>
      <c r="D6" s="415" t="s">
        <v>68</v>
      </c>
      <c r="E6" s="416"/>
      <c r="F6" s="417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1"/>
      <c r="AI6" s="411"/>
      <c r="AJ6" s="411"/>
      <c r="AK6" s="411"/>
      <c r="AL6" s="411"/>
      <c r="AM6" s="411"/>
      <c r="AN6" s="411"/>
      <c r="AO6" s="411"/>
      <c r="AP6" s="411"/>
    </row>
    <row r="7" spans="1:6" ht="23.25">
      <c r="A7" s="242" t="s">
        <v>63</v>
      </c>
      <c r="B7" s="96" t="s">
        <v>135</v>
      </c>
      <c r="C7" s="418">
        <v>9269512</v>
      </c>
      <c r="D7" s="419">
        <v>3</v>
      </c>
      <c r="E7" s="420"/>
      <c r="F7" s="421"/>
    </row>
    <row r="8" spans="1:6" ht="23.25">
      <c r="A8" s="242" t="s">
        <v>120</v>
      </c>
      <c r="B8" s="96" t="s">
        <v>135</v>
      </c>
      <c r="C8" s="418">
        <v>742277</v>
      </c>
      <c r="D8" s="419">
        <v>15</v>
      </c>
      <c r="E8" s="420"/>
      <c r="F8" s="421"/>
    </row>
    <row r="9" spans="1:6" ht="23.25">
      <c r="A9" s="242" t="s">
        <v>64</v>
      </c>
      <c r="B9" s="96" t="s">
        <v>136</v>
      </c>
      <c r="C9" s="414">
        <v>0</v>
      </c>
      <c r="D9" s="423" t="s">
        <v>68</v>
      </c>
      <c r="E9" s="420"/>
      <c r="F9" s="421"/>
    </row>
    <row r="10" spans="1:6" ht="23.25">
      <c r="A10" s="242" t="s">
        <v>39</v>
      </c>
      <c r="B10" s="96" t="s">
        <v>137</v>
      </c>
      <c r="C10" s="422">
        <v>31433</v>
      </c>
      <c r="D10" s="421">
        <v>10</v>
      </c>
      <c r="E10" s="420"/>
      <c r="F10" s="421"/>
    </row>
    <row r="11" spans="1:6" ht="23.25">
      <c r="A11" s="242" t="s">
        <v>212</v>
      </c>
      <c r="B11" s="96" t="s">
        <v>183</v>
      </c>
      <c r="C11" s="414">
        <v>8688</v>
      </c>
      <c r="D11" s="424" t="s">
        <v>68</v>
      </c>
      <c r="E11" s="422"/>
      <c r="F11" s="421"/>
    </row>
    <row r="12" spans="1:6" ht="23.25">
      <c r="A12" s="242" t="s">
        <v>250</v>
      </c>
      <c r="B12" s="96" t="s">
        <v>251</v>
      </c>
      <c r="C12" s="414">
        <v>0</v>
      </c>
      <c r="D12" s="424" t="s">
        <v>68</v>
      </c>
      <c r="E12" s="422"/>
      <c r="F12" s="421"/>
    </row>
    <row r="13" spans="1:6" ht="23.25">
      <c r="A13" s="242" t="s">
        <v>242</v>
      </c>
      <c r="B13" s="96" t="s">
        <v>213</v>
      </c>
      <c r="C13" s="414">
        <v>0</v>
      </c>
      <c r="D13" s="424" t="s">
        <v>68</v>
      </c>
      <c r="E13" s="422"/>
      <c r="F13" s="421"/>
    </row>
    <row r="14" spans="1:6" ht="23.25">
      <c r="A14" s="242" t="s">
        <v>149</v>
      </c>
      <c r="B14" s="96" t="s">
        <v>138</v>
      </c>
      <c r="C14" s="422"/>
      <c r="D14" s="425"/>
      <c r="E14" s="422">
        <v>14913</v>
      </c>
      <c r="F14" s="421" t="s">
        <v>68</v>
      </c>
    </row>
    <row r="15" spans="1:6" ht="23.25">
      <c r="A15" s="242" t="s">
        <v>265</v>
      </c>
      <c r="B15" s="96" t="s">
        <v>139</v>
      </c>
      <c r="C15" s="422"/>
      <c r="D15" s="425"/>
      <c r="E15" s="422">
        <v>11623</v>
      </c>
      <c r="F15" s="421">
        <v>41</v>
      </c>
    </row>
    <row r="16" spans="1:6" ht="23.25">
      <c r="A16" s="242" t="s">
        <v>267</v>
      </c>
      <c r="B16" s="96" t="s">
        <v>164</v>
      </c>
      <c r="C16" s="418"/>
      <c r="D16" s="421"/>
      <c r="E16" s="422">
        <v>888120</v>
      </c>
      <c r="F16" s="423">
        <v>14</v>
      </c>
    </row>
    <row r="17" spans="1:6" ht="23.25">
      <c r="A17" s="242" t="s">
        <v>41</v>
      </c>
      <c r="B17" s="96" t="s">
        <v>161</v>
      </c>
      <c r="C17" s="422"/>
      <c r="D17" s="425"/>
      <c r="E17" s="422">
        <v>2351921</v>
      </c>
      <c r="F17" s="423">
        <v>85</v>
      </c>
    </row>
    <row r="18" spans="1:6" ht="23.25">
      <c r="A18" s="242" t="s">
        <v>66</v>
      </c>
      <c r="B18" s="96" t="s">
        <v>162</v>
      </c>
      <c r="C18" s="422"/>
      <c r="D18" s="424"/>
      <c r="E18" s="418">
        <v>2984321</v>
      </c>
      <c r="F18" s="423">
        <v>24</v>
      </c>
    </row>
    <row r="19" spans="1:6" ht="23.25">
      <c r="A19" s="242" t="s">
        <v>328</v>
      </c>
      <c r="B19" s="96" t="s">
        <v>163</v>
      </c>
      <c r="C19" s="422"/>
      <c r="D19" s="421"/>
      <c r="E19" s="422">
        <v>18837424</v>
      </c>
      <c r="F19" s="419">
        <v>21</v>
      </c>
    </row>
    <row r="20" spans="1:6" ht="23.25">
      <c r="A20" s="242" t="s">
        <v>44</v>
      </c>
      <c r="B20" s="96" t="s">
        <v>179</v>
      </c>
      <c r="C20" s="426">
        <v>1297236</v>
      </c>
      <c r="D20" s="419">
        <v>37</v>
      </c>
      <c r="E20" s="422"/>
      <c r="F20" s="419"/>
    </row>
    <row r="21" spans="1:6" ht="23.25">
      <c r="A21" s="242" t="s">
        <v>207</v>
      </c>
      <c r="B21" s="96" t="s">
        <v>209</v>
      </c>
      <c r="C21" s="422">
        <v>1147650</v>
      </c>
      <c r="D21" s="419" t="s">
        <v>68</v>
      </c>
      <c r="E21" s="422"/>
      <c r="F21" s="419"/>
    </row>
    <row r="22" spans="1:6" ht="23.25">
      <c r="A22" s="242" t="s">
        <v>208</v>
      </c>
      <c r="B22" s="96" t="s">
        <v>210</v>
      </c>
      <c r="C22" s="422">
        <v>2376452</v>
      </c>
      <c r="D22" s="419">
        <v>87</v>
      </c>
      <c r="E22" s="422"/>
      <c r="F22" s="419"/>
    </row>
    <row r="23" spans="1:6" ht="23.25">
      <c r="A23" s="242" t="s">
        <v>45</v>
      </c>
      <c r="B23" s="96" t="s">
        <v>156</v>
      </c>
      <c r="C23" s="422">
        <v>508513</v>
      </c>
      <c r="D23" s="421" t="s">
        <v>68</v>
      </c>
      <c r="E23" s="422"/>
      <c r="F23" s="421"/>
    </row>
    <row r="24" spans="1:6" ht="23.25">
      <c r="A24" s="242" t="s">
        <v>46</v>
      </c>
      <c r="B24" s="96" t="s">
        <v>157</v>
      </c>
      <c r="C24" s="422">
        <v>1401483</v>
      </c>
      <c r="D24" s="421">
        <v>49</v>
      </c>
      <c r="E24" s="422"/>
      <c r="F24" s="421"/>
    </row>
    <row r="25" spans="1:6" ht="23.25">
      <c r="A25" s="242" t="s">
        <v>47</v>
      </c>
      <c r="B25" s="96" t="s">
        <v>158</v>
      </c>
      <c r="C25" s="422">
        <v>1052666</v>
      </c>
      <c r="D25" s="421">
        <v>90</v>
      </c>
      <c r="E25" s="422"/>
      <c r="F25" s="421"/>
    </row>
    <row r="26" spans="1:6" ht="23.25">
      <c r="A26" s="242" t="s">
        <v>65</v>
      </c>
      <c r="B26" s="96" t="s">
        <v>159</v>
      </c>
      <c r="C26" s="422">
        <v>262058</v>
      </c>
      <c r="D26" s="419">
        <v>44</v>
      </c>
      <c r="E26" s="422"/>
      <c r="F26" s="421"/>
    </row>
    <row r="27" spans="1:6" ht="23.25">
      <c r="A27" s="242" t="s">
        <v>48</v>
      </c>
      <c r="B27" s="96" t="s">
        <v>218</v>
      </c>
      <c r="C27" s="426">
        <v>106892</v>
      </c>
      <c r="D27" s="421">
        <v>50</v>
      </c>
      <c r="E27" s="422"/>
      <c r="F27" s="421"/>
    </row>
    <row r="28" spans="1:6" ht="23.25">
      <c r="A28" s="242" t="s">
        <v>49</v>
      </c>
      <c r="B28" s="96" t="s">
        <v>160</v>
      </c>
      <c r="C28" s="426">
        <v>1338545</v>
      </c>
      <c r="D28" s="421" t="s">
        <v>68</v>
      </c>
      <c r="E28" s="422"/>
      <c r="F28" s="421"/>
    </row>
    <row r="29" spans="1:6" ht="23.25">
      <c r="A29" s="242" t="s">
        <v>219</v>
      </c>
      <c r="B29" s="96" t="s">
        <v>181</v>
      </c>
      <c r="C29" s="426">
        <v>88187</v>
      </c>
      <c r="D29" s="421" t="s">
        <v>68</v>
      </c>
      <c r="E29" s="422"/>
      <c r="F29" s="421"/>
    </row>
    <row r="30" spans="1:6" ht="23.25">
      <c r="A30" s="242" t="s">
        <v>38</v>
      </c>
      <c r="B30" s="96" t="s">
        <v>180</v>
      </c>
      <c r="C30" s="426">
        <v>470400</v>
      </c>
      <c r="D30" s="423" t="s">
        <v>68</v>
      </c>
      <c r="E30" s="422"/>
      <c r="F30" s="423"/>
    </row>
    <row r="31" spans="1:6" ht="23.25">
      <c r="A31" s="242" t="s">
        <v>314</v>
      </c>
      <c r="B31" s="96" t="s">
        <v>178</v>
      </c>
      <c r="C31" s="426">
        <v>4986328</v>
      </c>
      <c r="D31" s="423" t="s">
        <v>68</v>
      </c>
      <c r="E31" s="422"/>
      <c r="F31" s="423"/>
    </row>
    <row r="32" spans="1:6" ht="23.25">
      <c r="A32" s="242"/>
      <c r="B32" s="96"/>
      <c r="C32" s="426"/>
      <c r="D32" s="423"/>
      <c r="E32" s="422"/>
      <c r="F32" s="423"/>
    </row>
    <row r="33" spans="1:6" ht="23.25">
      <c r="A33" s="182"/>
      <c r="B33" s="97"/>
      <c r="C33" s="426"/>
      <c r="D33" s="423"/>
      <c r="E33" s="422"/>
      <c r="F33" s="423"/>
    </row>
    <row r="34" spans="2:6" ht="24" thickBot="1">
      <c r="B34" s="106"/>
      <c r="C34" s="427">
        <f>INT(SUM(C6:C33)+SUM(D6:D33)/100)</f>
        <v>25088323</v>
      </c>
      <c r="D34" s="428">
        <f>MOD(SUM(D6:D33),100)</f>
        <v>85</v>
      </c>
      <c r="E34" s="427">
        <f>INT(SUM(E6:E33)+SUM(F6:F33)/100)</f>
        <v>25088323</v>
      </c>
      <c r="F34" s="429">
        <f>MOD(SUM(F6:F33),100)</f>
        <v>85</v>
      </c>
    </row>
    <row r="35" spans="2:6" ht="24" thickTop="1">
      <c r="B35" s="106"/>
      <c r="C35" s="103"/>
      <c r="D35" s="430"/>
      <c r="E35" s="103"/>
      <c r="F35" s="430"/>
    </row>
    <row r="36" spans="1:6" ht="23.25">
      <c r="A36" s="522" t="s">
        <v>257</v>
      </c>
      <c r="B36" s="522"/>
      <c r="C36" s="522"/>
      <c r="D36" s="522"/>
      <c r="E36" s="522"/>
      <c r="F36" s="522"/>
    </row>
    <row r="37" spans="1:6" ht="23.25">
      <c r="A37" s="118" t="s">
        <v>302</v>
      </c>
      <c r="B37" s="118"/>
      <c r="C37" s="118"/>
      <c r="D37" s="118"/>
      <c r="E37" s="118"/>
      <c r="F37" s="118"/>
    </row>
    <row r="38" spans="1:5" ht="23.25">
      <c r="A38" s="431" t="s">
        <v>301</v>
      </c>
      <c r="C38" s="118"/>
      <c r="D38" s="118"/>
      <c r="E38" s="118"/>
    </row>
  </sheetData>
  <mergeCells count="8">
    <mergeCell ref="A36:F36"/>
    <mergeCell ref="A1:F1"/>
    <mergeCell ref="A2:F2"/>
    <mergeCell ref="A3:F3"/>
    <mergeCell ref="A4:A5"/>
    <mergeCell ref="B4:B5"/>
    <mergeCell ref="C4:D5"/>
    <mergeCell ref="E4:F5"/>
  </mergeCells>
  <printOptions/>
  <pageMargins left="0.75" right="0.25" top="0.25" bottom="0.25" header="0.5" footer="0.5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5"/>
  <sheetViews>
    <sheetView view="pageBreakPreview" zoomScaleSheetLayoutView="100" workbookViewId="0" topLeftCell="A151">
      <selection activeCell="B105" sqref="B105"/>
    </sheetView>
  </sheetViews>
  <sheetFormatPr defaultColWidth="9.140625" defaultRowHeight="21.75"/>
  <cols>
    <col min="1" max="1" width="9.140625" style="91" customWidth="1"/>
    <col min="2" max="2" width="50.8515625" style="91" customWidth="1"/>
    <col min="3" max="4" width="14.7109375" style="91" customWidth="1"/>
    <col min="5" max="5" width="14.7109375" style="454" customWidth="1"/>
    <col min="6" max="16384" width="9.140625" style="91" customWidth="1"/>
  </cols>
  <sheetData>
    <row r="1" spans="1:8" ht="23.25">
      <c r="A1" s="493" t="s">
        <v>56</v>
      </c>
      <c r="B1" s="493"/>
      <c r="C1" s="493"/>
      <c r="D1" s="493"/>
      <c r="E1" s="493"/>
      <c r="F1" s="177"/>
      <c r="G1" s="177"/>
      <c r="H1" s="177"/>
    </row>
    <row r="2" spans="1:8" ht="23.25">
      <c r="A2" s="494" t="s">
        <v>319</v>
      </c>
      <c r="B2" s="494"/>
      <c r="C2" s="494"/>
      <c r="D2" s="494"/>
      <c r="E2" s="494"/>
      <c r="F2" s="177"/>
      <c r="G2" s="177"/>
      <c r="H2" s="177"/>
    </row>
    <row r="3" spans="1:8" ht="23.25">
      <c r="A3" s="494" t="s">
        <v>336</v>
      </c>
      <c r="B3" s="494"/>
      <c r="C3" s="494"/>
      <c r="D3" s="494"/>
      <c r="E3" s="494"/>
      <c r="F3" s="177"/>
      <c r="G3" s="177"/>
      <c r="H3" s="177"/>
    </row>
    <row r="4" spans="1:8" ht="23.25">
      <c r="A4" s="494" t="s">
        <v>150</v>
      </c>
      <c r="B4" s="494"/>
      <c r="C4" s="494"/>
      <c r="D4" s="494"/>
      <c r="E4" s="494"/>
      <c r="F4" s="177"/>
      <c r="G4" s="177"/>
      <c r="H4" s="177"/>
    </row>
    <row r="5" spans="1:5" ht="21">
      <c r="A5" s="184" t="s">
        <v>223</v>
      </c>
      <c r="B5" s="184" t="s">
        <v>26</v>
      </c>
      <c r="C5" s="184" t="s">
        <v>61</v>
      </c>
      <c r="D5" s="184" t="s">
        <v>62</v>
      </c>
      <c r="E5" s="450" t="s">
        <v>147</v>
      </c>
    </row>
    <row r="6" spans="1:5" ht="23.25">
      <c r="A6" s="240">
        <v>1</v>
      </c>
      <c r="B6" s="392" t="s">
        <v>258</v>
      </c>
      <c r="C6" s="241">
        <v>0</v>
      </c>
      <c r="D6" s="241">
        <v>0</v>
      </c>
      <c r="E6" s="442">
        <v>0</v>
      </c>
    </row>
    <row r="7" spans="1:5" ht="23.25">
      <c r="A7" s="178">
        <v>2</v>
      </c>
      <c r="B7" s="242" t="s">
        <v>165</v>
      </c>
      <c r="C7" s="243">
        <v>0</v>
      </c>
      <c r="D7" s="243">
        <v>0</v>
      </c>
      <c r="E7" s="443">
        <v>14913</v>
      </c>
    </row>
    <row r="8" spans="1:5" ht="23.25">
      <c r="A8" s="178"/>
      <c r="B8" s="242"/>
      <c r="C8" s="243"/>
      <c r="D8" s="243"/>
      <c r="E8" s="443"/>
    </row>
    <row r="9" spans="1:5" ht="24" thickBot="1">
      <c r="A9" s="237"/>
      <c r="B9" s="238"/>
      <c r="C9" s="239">
        <f>SUM(C6:C8)</f>
        <v>0</v>
      </c>
      <c r="D9" s="239">
        <f>SUM(D6:D8)</f>
        <v>0</v>
      </c>
      <c r="E9" s="444">
        <f>SUM(E6:E8)</f>
        <v>14913</v>
      </c>
    </row>
    <row r="10" spans="1:2" ht="24" thickTop="1">
      <c r="A10" s="92"/>
      <c r="B10" s="77"/>
    </row>
    <row r="11" spans="1:2" ht="23.25">
      <c r="A11" s="92"/>
      <c r="B11" s="77"/>
    </row>
    <row r="29" spans="2:4" ht="23.25">
      <c r="B29" s="77"/>
      <c r="C29" s="111" t="s">
        <v>98</v>
      </c>
      <c r="D29" s="77"/>
    </row>
    <row r="30" spans="2:4" ht="23.25">
      <c r="B30" s="77"/>
      <c r="C30" s="77"/>
      <c r="D30" s="77"/>
    </row>
    <row r="31" spans="2:4" ht="23.25">
      <c r="B31" s="77"/>
      <c r="C31" s="111" t="s">
        <v>300</v>
      </c>
      <c r="D31" s="77"/>
    </row>
    <row r="32" spans="2:4" ht="23.25">
      <c r="B32" s="77"/>
      <c r="C32" s="111" t="s">
        <v>97</v>
      </c>
      <c r="D32" s="77"/>
    </row>
    <row r="34" spans="1:8" ht="23.25">
      <c r="A34" s="493" t="s">
        <v>128</v>
      </c>
      <c r="B34" s="493"/>
      <c r="C34" s="493"/>
      <c r="D34" s="493"/>
      <c r="E34" s="493"/>
      <c r="F34" s="177"/>
      <c r="G34" s="177"/>
      <c r="H34" s="177"/>
    </row>
    <row r="35" spans="1:8" ht="23.25">
      <c r="A35" s="494" t="s">
        <v>319</v>
      </c>
      <c r="B35" s="494"/>
      <c r="C35" s="494"/>
      <c r="D35" s="494"/>
      <c r="E35" s="494"/>
      <c r="F35" s="177"/>
      <c r="G35" s="177"/>
      <c r="H35" s="177"/>
    </row>
    <row r="36" spans="1:8" ht="23.25">
      <c r="A36" s="494" t="s">
        <v>336</v>
      </c>
      <c r="B36" s="494"/>
      <c r="C36" s="494"/>
      <c r="D36" s="494"/>
      <c r="E36" s="494"/>
      <c r="F36" s="177"/>
      <c r="G36" s="177"/>
      <c r="H36" s="177"/>
    </row>
    <row r="37" spans="1:8" ht="23.25">
      <c r="A37" s="494" t="s">
        <v>259</v>
      </c>
      <c r="B37" s="494"/>
      <c r="C37" s="494"/>
      <c r="D37" s="494"/>
      <c r="E37" s="494"/>
      <c r="F37" s="177"/>
      <c r="G37" s="177"/>
      <c r="H37" s="177"/>
    </row>
    <row r="38" spans="1:5" ht="21">
      <c r="A38" s="184" t="s">
        <v>223</v>
      </c>
      <c r="B38" s="184" t="s">
        <v>26</v>
      </c>
      <c r="C38" s="184" t="s">
        <v>61</v>
      </c>
      <c r="D38" s="184" t="s">
        <v>62</v>
      </c>
      <c r="E38" s="450" t="s">
        <v>147</v>
      </c>
    </row>
    <row r="39" spans="1:5" ht="23.25">
      <c r="A39" s="240">
        <v>1</v>
      </c>
      <c r="B39" s="392" t="s">
        <v>263</v>
      </c>
      <c r="C39" s="241">
        <v>0</v>
      </c>
      <c r="D39" s="241">
        <v>0</v>
      </c>
      <c r="E39" s="442">
        <v>0</v>
      </c>
    </row>
    <row r="40" spans="1:5" ht="23.25">
      <c r="A40" s="178"/>
      <c r="B40" s="242" t="s">
        <v>264</v>
      </c>
      <c r="C40" s="243"/>
      <c r="D40" s="243"/>
      <c r="E40" s="443"/>
    </row>
    <row r="41" spans="1:5" ht="23.25">
      <c r="A41" s="178">
        <v>2</v>
      </c>
      <c r="B41" s="242" t="s">
        <v>260</v>
      </c>
      <c r="C41" s="243">
        <v>0</v>
      </c>
      <c r="D41" s="243">
        <v>0</v>
      </c>
      <c r="E41" s="443">
        <v>11623.41</v>
      </c>
    </row>
    <row r="42" spans="1:5" ht="23.25">
      <c r="A42" s="178">
        <v>3</v>
      </c>
      <c r="B42" s="242" t="s">
        <v>261</v>
      </c>
      <c r="C42" s="243">
        <v>0</v>
      </c>
      <c r="D42" s="243">
        <v>0</v>
      </c>
      <c r="E42" s="443">
        <v>0</v>
      </c>
    </row>
    <row r="43" spans="1:5" ht="23.25">
      <c r="A43" s="178">
        <v>4</v>
      </c>
      <c r="B43" s="242" t="s">
        <v>262</v>
      </c>
      <c r="C43" s="243">
        <v>0</v>
      </c>
      <c r="D43" s="243">
        <v>0</v>
      </c>
      <c r="E43" s="443">
        <v>0</v>
      </c>
    </row>
    <row r="44" spans="1:5" ht="24" thickBot="1">
      <c r="A44" s="237"/>
      <c r="B44" s="238"/>
      <c r="C44" s="239">
        <f>SUM(C39:C43)</f>
        <v>0</v>
      </c>
      <c r="D44" s="239">
        <f>SUM(D39:D43)</f>
        <v>0</v>
      </c>
      <c r="E44" s="444">
        <f>SUM(E39:E43)</f>
        <v>11623.41</v>
      </c>
    </row>
    <row r="45" spans="1:2" ht="24" thickTop="1">
      <c r="A45" s="92"/>
      <c r="B45" s="77"/>
    </row>
    <row r="46" spans="1:2" ht="23.25">
      <c r="A46" s="92"/>
      <c r="B46" s="77"/>
    </row>
    <row r="63" spans="2:4" ht="23.25">
      <c r="B63" s="77"/>
      <c r="C63" s="111" t="s">
        <v>98</v>
      </c>
      <c r="D63" s="77"/>
    </row>
    <row r="64" spans="2:4" ht="23.25">
      <c r="B64" s="77"/>
      <c r="C64" s="77"/>
      <c r="D64" s="77"/>
    </row>
    <row r="65" spans="2:4" ht="23.25">
      <c r="B65" s="77"/>
      <c r="C65" s="111" t="s">
        <v>300</v>
      </c>
      <c r="D65" s="77"/>
    </row>
    <row r="66" ht="23.25">
      <c r="C66" s="111" t="s">
        <v>97</v>
      </c>
    </row>
    <row r="67" spans="1:8" ht="23.25">
      <c r="A67" s="493" t="s">
        <v>121</v>
      </c>
      <c r="B67" s="493"/>
      <c r="C67" s="493"/>
      <c r="D67" s="493"/>
      <c r="E67" s="493"/>
      <c r="F67" s="177"/>
      <c r="G67" s="177"/>
      <c r="H67" s="177"/>
    </row>
    <row r="68" spans="1:8" ht="23.25">
      <c r="A68" s="494" t="s">
        <v>319</v>
      </c>
      <c r="B68" s="494"/>
      <c r="C68" s="494"/>
      <c r="D68" s="494"/>
      <c r="E68" s="494"/>
      <c r="F68" s="177"/>
      <c r="G68" s="177"/>
      <c r="H68" s="177"/>
    </row>
    <row r="69" spans="1:8" ht="23.25">
      <c r="A69" s="494" t="s">
        <v>336</v>
      </c>
      <c r="B69" s="494"/>
      <c r="C69" s="494"/>
      <c r="D69" s="494"/>
      <c r="E69" s="494"/>
      <c r="F69" s="177"/>
      <c r="G69" s="177"/>
      <c r="H69" s="177"/>
    </row>
    <row r="70" spans="1:8" ht="23.25">
      <c r="A70" s="505" t="s">
        <v>57</v>
      </c>
      <c r="B70" s="505"/>
      <c r="C70" s="505"/>
      <c r="D70" s="505"/>
      <c r="E70" s="505"/>
      <c r="F70" s="177"/>
      <c r="G70" s="177"/>
      <c r="H70" s="177"/>
    </row>
    <row r="71" spans="1:5" s="92" customFormat="1" ht="21">
      <c r="A71" s="184" t="s">
        <v>146</v>
      </c>
      <c r="B71" s="184" t="s">
        <v>26</v>
      </c>
      <c r="C71" s="184" t="s">
        <v>61</v>
      </c>
      <c r="D71" s="184" t="s">
        <v>62</v>
      </c>
      <c r="E71" s="202" t="s">
        <v>147</v>
      </c>
    </row>
    <row r="72" spans="1:5" ht="23.25">
      <c r="A72" s="178">
        <v>1</v>
      </c>
      <c r="B72" s="179" t="s">
        <v>140</v>
      </c>
      <c r="C72" s="180">
        <v>1649.67</v>
      </c>
      <c r="D72" s="180">
        <v>11646.18</v>
      </c>
      <c r="E72" s="445">
        <v>11646.18</v>
      </c>
    </row>
    <row r="73" spans="1:5" ht="23.25">
      <c r="A73" s="185">
        <v>2</v>
      </c>
      <c r="B73" s="186" t="s">
        <v>141</v>
      </c>
      <c r="C73" s="187">
        <v>0</v>
      </c>
      <c r="D73" s="187">
        <v>0</v>
      </c>
      <c r="E73" s="446">
        <v>106658</v>
      </c>
    </row>
    <row r="74" spans="1:5" ht="23.25">
      <c r="A74" s="185">
        <v>3</v>
      </c>
      <c r="B74" s="186" t="s">
        <v>142</v>
      </c>
      <c r="C74" s="187">
        <v>0</v>
      </c>
      <c r="D74" s="187">
        <v>206.06</v>
      </c>
      <c r="E74" s="446">
        <v>3313.1</v>
      </c>
    </row>
    <row r="75" spans="1:5" ht="23.25">
      <c r="A75" s="185">
        <v>4</v>
      </c>
      <c r="B75" s="186" t="s">
        <v>143</v>
      </c>
      <c r="C75" s="187">
        <v>0.01</v>
      </c>
      <c r="D75" s="187">
        <v>247.28</v>
      </c>
      <c r="E75" s="446">
        <v>3975.71</v>
      </c>
    </row>
    <row r="76" spans="1:5" ht="23.25">
      <c r="A76" s="185">
        <v>5</v>
      </c>
      <c r="B76" s="186" t="s">
        <v>144</v>
      </c>
      <c r="C76" s="187">
        <v>0</v>
      </c>
      <c r="D76" s="187">
        <v>12513</v>
      </c>
      <c r="E76" s="446">
        <v>742277.15</v>
      </c>
    </row>
    <row r="77" spans="1:5" ht="23.25">
      <c r="A77" s="185">
        <v>6</v>
      </c>
      <c r="B77" s="186" t="s">
        <v>243</v>
      </c>
      <c r="C77" s="187">
        <v>0</v>
      </c>
      <c r="D77" s="187">
        <v>0</v>
      </c>
      <c r="E77" s="446">
        <v>18000</v>
      </c>
    </row>
    <row r="78" spans="1:5" ht="23.25">
      <c r="A78" s="185">
        <v>7</v>
      </c>
      <c r="B78" s="186" t="s">
        <v>266</v>
      </c>
      <c r="C78" s="187">
        <v>0</v>
      </c>
      <c r="D78" s="187">
        <v>0</v>
      </c>
      <c r="E78" s="446">
        <v>0</v>
      </c>
    </row>
    <row r="79" spans="1:5" ht="23.25">
      <c r="A79" s="181">
        <v>8</v>
      </c>
      <c r="B79" s="182" t="s">
        <v>145</v>
      </c>
      <c r="C79" s="183">
        <v>0</v>
      </c>
      <c r="D79" s="183">
        <v>0</v>
      </c>
      <c r="E79" s="447">
        <v>2250</v>
      </c>
    </row>
    <row r="80" spans="3:5" ht="21.75" thickBot="1">
      <c r="C80" s="188">
        <f>SUM(C72:C79)</f>
        <v>1649.68</v>
      </c>
      <c r="D80" s="188">
        <f>SUM(D72:D79)</f>
        <v>24612.52</v>
      </c>
      <c r="E80" s="455">
        <f>SUM(E72:E79)</f>
        <v>888120.14</v>
      </c>
    </row>
    <row r="81" spans="3:5" ht="21.75" thickTop="1">
      <c r="C81" s="189"/>
      <c r="D81" s="189"/>
      <c r="E81" s="456"/>
    </row>
    <row r="82" spans="3:5" ht="21">
      <c r="C82" s="189"/>
      <c r="D82" s="189"/>
      <c r="E82" s="456"/>
    </row>
    <row r="83" spans="3:5" ht="21">
      <c r="C83" s="189"/>
      <c r="D83" s="189"/>
      <c r="E83" s="456"/>
    </row>
    <row r="84" spans="3:5" ht="21">
      <c r="C84" s="189"/>
      <c r="D84" s="189"/>
      <c r="E84" s="456"/>
    </row>
    <row r="85" spans="3:5" ht="21">
      <c r="C85" s="189"/>
      <c r="D85" s="189"/>
      <c r="E85" s="456"/>
    </row>
    <row r="86" spans="2:5" ht="23.25">
      <c r="B86" s="77"/>
      <c r="C86" s="111" t="s">
        <v>98</v>
      </c>
      <c r="D86" s="77"/>
      <c r="E86" s="456"/>
    </row>
    <row r="87" spans="2:5" ht="23.25">
      <c r="B87" s="77"/>
      <c r="C87" s="77"/>
      <c r="D87" s="77"/>
      <c r="E87" s="456"/>
    </row>
    <row r="88" spans="2:4" ht="23.25">
      <c r="B88" s="77"/>
      <c r="C88" s="111" t="s">
        <v>300</v>
      </c>
      <c r="D88" s="77"/>
    </row>
    <row r="89" spans="2:4" ht="23.25">
      <c r="B89" s="77"/>
      <c r="C89" s="111" t="s">
        <v>97</v>
      </c>
      <c r="D89" s="77"/>
    </row>
    <row r="90" spans="2:4" ht="23.25">
      <c r="B90" s="77"/>
      <c r="C90" s="111"/>
      <c r="D90" s="77"/>
    </row>
    <row r="91" spans="2:4" ht="23.25">
      <c r="B91" s="77"/>
      <c r="C91" s="111"/>
      <c r="D91" s="77"/>
    </row>
    <row r="92" spans="2:4" ht="23.25">
      <c r="B92" s="77"/>
      <c r="C92" s="111"/>
      <c r="D92" s="77"/>
    </row>
    <row r="93" spans="2:4" ht="23.25">
      <c r="B93" s="77"/>
      <c r="C93" s="111"/>
      <c r="D93" s="77"/>
    </row>
    <row r="94" spans="2:4" ht="23.25">
      <c r="B94" s="77"/>
      <c r="C94" s="111"/>
      <c r="D94" s="77"/>
    </row>
    <row r="95" spans="2:4" ht="23.25">
      <c r="B95" s="77"/>
      <c r="C95" s="111"/>
      <c r="D95" s="77"/>
    </row>
    <row r="96" spans="2:4" ht="23.25">
      <c r="B96" s="77"/>
      <c r="C96" s="111"/>
      <c r="D96" s="77"/>
    </row>
    <row r="97" spans="2:4" ht="23.25">
      <c r="B97" s="77"/>
      <c r="C97" s="111"/>
      <c r="D97" s="77"/>
    </row>
    <row r="98" spans="2:4" ht="23.25">
      <c r="B98" s="77"/>
      <c r="C98" s="111"/>
      <c r="D98" s="77"/>
    </row>
    <row r="99" spans="1:10" ht="23.25">
      <c r="A99" s="493" t="s">
        <v>269</v>
      </c>
      <c r="B99" s="493"/>
      <c r="C99" s="493"/>
      <c r="D99" s="493"/>
      <c r="E99" s="493"/>
      <c r="F99" s="177"/>
      <c r="G99" s="177"/>
      <c r="H99" s="177"/>
      <c r="I99" s="124"/>
      <c r="J99" s="124"/>
    </row>
    <row r="100" spans="1:8" ht="23.25">
      <c r="A100" s="494" t="s">
        <v>319</v>
      </c>
      <c r="B100" s="494"/>
      <c r="C100" s="494"/>
      <c r="D100" s="494"/>
      <c r="E100" s="494"/>
      <c r="F100" s="177"/>
      <c r="G100" s="177"/>
      <c r="H100" s="177"/>
    </row>
    <row r="101" spans="1:8" ht="23.25">
      <c r="A101" s="494" t="s">
        <v>334</v>
      </c>
      <c r="B101" s="494"/>
      <c r="C101" s="494"/>
      <c r="D101" s="494"/>
      <c r="E101" s="494"/>
      <c r="F101" s="177"/>
      <c r="G101" s="177"/>
      <c r="H101" s="177"/>
    </row>
    <row r="102" spans="1:8" ht="23.25">
      <c r="A102" s="494" t="s">
        <v>122</v>
      </c>
      <c r="B102" s="494"/>
      <c r="C102" s="494"/>
      <c r="D102" s="494"/>
      <c r="E102" s="494"/>
      <c r="F102" s="177"/>
      <c r="G102" s="177"/>
      <c r="H102" s="177"/>
    </row>
    <row r="103" spans="1:10" ht="21">
      <c r="A103" s="184" t="s">
        <v>146</v>
      </c>
      <c r="B103" s="184" t="s">
        <v>26</v>
      </c>
      <c r="C103" s="184" t="s">
        <v>24</v>
      </c>
      <c r="D103" s="184" t="s">
        <v>23</v>
      </c>
      <c r="E103" s="202" t="s">
        <v>151</v>
      </c>
      <c r="F103" s="124"/>
      <c r="G103" s="124"/>
      <c r="H103" s="124"/>
      <c r="I103" s="124"/>
      <c r="J103" s="124"/>
    </row>
    <row r="104" spans="1:10" ht="21">
      <c r="A104" s="190" t="s">
        <v>31</v>
      </c>
      <c r="B104" s="191"/>
      <c r="C104" s="192"/>
      <c r="D104" s="192"/>
      <c r="E104" s="448"/>
      <c r="F104" s="124"/>
      <c r="G104" s="124"/>
      <c r="H104" s="124"/>
      <c r="I104" s="124"/>
      <c r="J104" s="124"/>
    </row>
    <row r="105" spans="1:10" ht="21">
      <c r="A105" s="185">
        <v>1</v>
      </c>
      <c r="B105" s="195" t="s">
        <v>224</v>
      </c>
      <c r="C105" s="196">
        <v>35000</v>
      </c>
      <c r="D105" s="196">
        <v>0</v>
      </c>
      <c r="E105" s="449">
        <f>153.3+10843.4+24570.7</f>
        <v>35567.4</v>
      </c>
      <c r="F105" s="124"/>
      <c r="G105" s="126"/>
      <c r="H105" s="124"/>
      <c r="I105" s="124"/>
      <c r="J105" s="124"/>
    </row>
    <row r="106" spans="1:10" ht="21">
      <c r="A106" s="185">
        <v>2</v>
      </c>
      <c r="B106" s="195" t="s">
        <v>152</v>
      </c>
      <c r="C106" s="196">
        <v>75000</v>
      </c>
      <c r="D106" s="196">
        <v>3667.87</v>
      </c>
      <c r="E106" s="449">
        <f>831.44+4703.03+385.1+5317.57+6739.17+27359.58+9493.27+6395.53+3667.87</f>
        <v>64892.560000000005</v>
      </c>
      <c r="F106" s="124"/>
      <c r="G106" s="126"/>
      <c r="H106" s="124"/>
      <c r="I106" s="124"/>
      <c r="J106" s="124"/>
    </row>
    <row r="107" spans="1:10" ht="21">
      <c r="A107" s="185">
        <v>3</v>
      </c>
      <c r="B107" s="195" t="s">
        <v>236</v>
      </c>
      <c r="C107" s="196">
        <v>500</v>
      </c>
      <c r="D107" s="196">
        <v>0</v>
      </c>
      <c r="E107" s="449">
        <v>400</v>
      </c>
      <c r="F107" s="124"/>
      <c r="G107" s="126"/>
      <c r="H107" s="124"/>
      <c r="I107" s="124"/>
      <c r="J107" s="124"/>
    </row>
    <row r="108" spans="1:10" ht="21">
      <c r="A108" s="195"/>
      <c r="B108" s="197"/>
      <c r="C108" s="202">
        <f>SUM(C105:C107)</f>
        <v>110500</v>
      </c>
      <c r="D108" s="202">
        <f>SUM(D105:D107)</f>
        <v>3667.87</v>
      </c>
      <c r="E108" s="450">
        <f>SUM(E105:E107)</f>
        <v>100859.96</v>
      </c>
      <c r="F108" s="124"/>
      <c r="G108" s="127"/>
      <c r="H108" s="124"/>
      <c r="I108" s="124"/>
      <c r="J108" s="124"/>
    </row>
    <row r="109" spans="1:10" ht="21">
      <c r="A109" s="198" t="s">
        <v>32</v>
      </c>
      <c r="B109" s="197"/>
      <c r="C109" s="201"/>
      <c r="D109" s="201"/>
      <c r="E109" s="451"/>
      <c r="F109" s="124"/>
      <c r="G109" s="126"/>
      <c r="H109" s="124"/>
      <c r="I109" s="124"/>
      <c r="J109" s="124"/>
    </row>
    <row r="110" spans="1:10" ht="21">
      <c r="A110" s="185">
        <v>1</v>
      </c>
      <c r="B110" s="195" t="s">
        <v>237</v>
      </c>
      <c r="C110" s="196">
        <v>500</v>
      </c>
      <c r="D110" s="196">
        <v>0</v>
      </c>
      <c r="E110" s="449">
        <v>163.93</v>
      </c>
      <c r="F110" s="124"/>
      <c r="G110" s="126"/>
      <c r="H110" s="124"/>
      <c r="I110" s="124"/>
      <c r="J110" s="124"/>
    </row>
    <row r="111" spans="1:10" ht="21">
      <c r="A111" s="185">
        <v>2</v>
      </c>
      <c r="B111" s="195" t="s">
        <v>305</v>
      </c>
      <c r="C111" s="196">
        <v>0</v>
      </c>
      <c r="D111" s="196">
        <v>0</v>
      </c>
      <c r="E111" s="449">
        <f>50+50</f>
        <v>100</v>
      </c>
      <c r="F111" s="124"/>
      <c r="G111" s="126"/>
      <c r="H111" s="124"/>
      <c r="I111" s="124"/>
      <c r="J111" s="124"/>
    </row>
    <row r="112" spans="1:10" ht="21">
      <c r="A112" s="185">
        <v>3</v>
      </c>
      <c r="B112" s="195" t="s">
        <v>246</v>
      </c>
      <c r="C112" s="196">
        <v>1000</v>
      </c>
      <c r="D112" s="196">
        <v>0</v>
      </c>
      <c r="E112" s="449">
        <f>180+10+40+10+420</f>
        <v>660</v>
      </c>
      <c r="F112" s="124"/>
      <c r="G112" s="126"/>
      <c r="H112" s="124"/>
      <c r="I112" s="124"/>
      <c r="J112" s="124"/>
    </row>
    <row r="113" spans="1:10" ht="21">
      <c r="A113" s="185">
        <v>4</v>
      </c>
      <c r="B113" s="195" t="s">
        <v>168</v>
      </c>
      <c r="C113" s="196">
        <v>2000</v>
      </c>
      <c r="D113" s="196">
        <v>500</v>
      </c>
      <c r="E113" s="449">
        <f>1200+500</f>
        <v>1700</v>
      </c>
      <c r="F113" s="124"/>
      <c r="G113" s="126"/>
      <c r="H113" s="124"/>
      <c r="I113" s="124"/>
      <c r="J113" s="124"/>
    </row>
    <row r="114" spans="1:10" ht="21">
      <c r="A114" s="185">
        <v>5</v>
      </c>
      <c r="B114" s="195" t="s">
        <v>270</v>
      </c>
      <c r="C114" s="196">
        <v>15000</v>
      </c>
      <c r="D114" s="196">
        <v>0</v>
      </c>
      <c r="E114" s="449">
        <v>0</v>
      </c>
      <c r="F114" s="124"/>
      <c r="G114" s="126"/>
      <c r="H114" s="124"/>
      <c r="I114" s="124"/>
      <c r="J114" s="124"/>
    </row>
    <row r="115" spans="1:10" ht="21">
      <c r="A115" s="185">
        <v>6</v>
      </c>
      <c r="B115" s="195" t="s">
        <v>271</v>
      </c>
      <c r="C115" s="196">
        <v>1000</v>
      </c>
      <c r="D115" s="196">
        <v>0</v>
      </c>
      <c r="E115" s="449">
        <v>0</v>
      </c>
      <c r="F115" s="124"/>
      <c r="G115" s="127"/>
      <c r="H115" s="124"/>
      <c r="I115" s="124"/>
      <c r="J115" s="124"/>
    </row>
    <row r="116" spans="1:10" ht="21">
      <c r="A116" s="185">
        <v>7</v>
      </c>
      <c r="B116" s="195" t="s">
        <v>272</v>
      </c>
      <c r="C116" s="196">
        <v>45000</v>
      </c>
      <c r="D116" s="196">
        <v>760</v>
      </c>
      <c r="E116" s="449">
        <f>2280+1900+3040+1140+3040+2280+1900+1640+760</f>
        <v>17980</v>
      </c>
      <c r="F116" s="124"/>
      <c r="G116" s="127"/>
      <c r="H116" s="124"/>
      <c r="I116" s="124"/>
      <c r="J116" s="124"/>
    </row>
    <row r="117" spans="1:10" ht="21">
      <c r="A117" s="185">
        <v>8</v>
      </c>
      <c r="B117" s="195" t="s">
        <v>169</v>
      </c>
      <c r="C117" s="200">
        <v>30000</v>
      </c>
      <c r="D117" s="200">
        <v>4065</v>
      </c>
      <c r="E117" s="452">
        <f>2280+30+870+1590+2870+10+360+4065</f>
        <v>12075</v>
      </c>
      <c r="F117" s="124"/>
      <c r="G117" s="127"/>
      <c r="H117" s="124"/>
      <c r="I117" s="124"/>
      <c r="J117" s="124"/>
    </row>
    <row r="118" spans="1:10" ht="21">
      <c r="A118" s="185">
        <v>9</v>
      </c>
      <c r="B118" s="195" t="s">
        <v>273</v>
      </c>
      <c r="C118" s="200">
        <v>1000</v>
      </c>
      <c r="D118" s="200">
        <v>0</v>
      </c>
      <c r="E118" s="452">
        <v>0</v>
      </c>
      <c r="F118" s="124"/>
      <c r="G118" s="127"/>
      <c r="H118" s="124"/>
      <c r="I118" s="124"/>
      <c r="J118" s="124"/>
    </row>
    <row r="119" spans="1:10" ht="21">
      <c r="A119" s="185"/>
      <c r="B119" s="195"/>
      <c r="C119" s="200"/>
      <c r="D119" s="200"/>
      <c r="E119" s="452"/>
      <c r="F119" s="124"/>
      <c r="G119" s="127"/>
      <c r="H119" s="124"/>
      <c r="I119" s="124"/>
      <c r="J119" s="124"/>
    </row>
    <row r="120" spans="1:10" ht="21">
      <c r="A120" s="195"/>
      <c r="B120" s="197"/>
      <c r="C120" s="202">
        <f>SUM(C110:C119)</f>
        <v>95500</v>
      </c>
      <c r="D120" s="202">
        <f>SUM(D110:D119)</f>
        <v>5325</v>
      </c>
      <c r="E120" s="450">
        <f>SUM(E110:E119)</f>
        <v>32678.93</v>
      </c>
      <c r="F120" s="124"/>
      <c r="G120" s="127"/>
      <c r="H120" s="124"/>
      <c r="I120" s="124"/>
      <c r="J120" s="124"/>
    </row>
    <row r="121" spans="1:10" ht="21">
      <c r="A121" s="198" t="s">
        <v>33</v>
      </c>
      <c r="B121" s="197"/>
      <c r="C121" s="201"/>
      <c r="D121" s="201"/>
      <c r="E121" s="451"/>
      <c r="F121" s="124"/>
      <c r="G121" s="127"/>
      <c r="H121" s="124"/>
      <c r="I121" s="124"/>
      <c r="J121" s="124"/>
    </row>
    <row r="122" spans="1:10" ht="21">
      <c r="A122" s="185">
        <v>1</v>
      </c>
      <c r="B122" s="195" t="s">
        <v>244</v>
      </c>
      <c r="C122" s="203">
        <v>32000</v>
      </c>
      <c r="D122" s="203">
        <v>0</v>
      </c>
      <c r="E122" s="452">
        <v>9564.48</v>
      </c>
      <c r="F122" s="124"/>
      <c r="G122" s="127"/>
      <c r="H122" s="124"/>
      <c r="I122" s="124"/>
      <c r="J122" s="124"/>
    </row>
    <row r="123" spans="1:10" ht="21">
      <c r="A123" s="195"/>
      <c r="B123" s="197"/>
      <c r="C123" s="202">
        <f>SUM(C122)</f>
        <v>32000</v>
      </c>
      <c r="D123" s="202">
        <f>SUM(D122)</f>
        <v>0</v>
      </c>
      <c r="E123" s="450">
        <f>SUM(E122)</f>
        <v>9564.48</v>
      </c>
      <c r="F123" s="124"/>
      <c r="G123" s="127"/>
      <c r="H123" s="124"/>
      <c r="I123" s="124"/>
      <c r="J123" s="124"/>
    </row>
    <row r="124" spans="1:10" ht="21">
      <c r="A124" s="198" t="s">
        <v>34</v>
      </c>
      <c r="B124" s="197"/>
      <c r="C124" s="201"/>
      <c r="D124" s="201"/>
      <c r="E124" s="451"/>
      <c r="F124" s="124"/>
      <c r="G124" s="127"/>
      <c r="H124" s="124"/>
      <c r="I124" s="124"/>
      <c r="J124" s="124"/>
    </row>
    <row r="125" spans="1:10" ht="21">
      <c r="A125" s="185">
        <v>1</v>
      </c>
      <c r="B125" s="195" t="s">
        <v>274</v>
      </c>
      <c r="C125" s="203">
        <v>200000</v>
      </c>
      <c r="D125" s="203">
        <v>59354</v>
      </c>
      <c r="E125" s="452">
        <f>22176+348+15144+29844+23728+200+3376+59354</f>
        <v>154170</v>
      </c>
      <c r="F125" s="124"/>
      <c r="G125" s="127"/>
      <c r="H125" s="124"/>
      <c r="I125" s="124"/>
      <c r="J125" s="124"/>
    </row>
    <row r="126" spans="1:10" ht="21">
      <c r="A126" s="185"/>
      <c r="B126" s="195"/>
      <c r="C126" s="202">
        <f>SUM(C125)</f>
        <v>200000</v>
      </c>
      <c r="D126" s="202">
        <f>SUM(D125)</f>
        <v>59354</v>
      </c>
      <c r="E126" s="450">
        <f>SUM(E125)</f>
        <v>154170</v>
      </c>
      <c r="F126" s="124"/>
      <c r="G126" s="127"/>
      <c r="H126" s="124"/>
      <c r="I126" s="124"/>
      <c r="J126" s="124"/>
    </row>
    <row r="127" spans="1:10" ht="21">
      <c r="A127" s="198" t="s">
        <v>35</v>
      </c>
      <c r="B127" s="197"/>
      <c r="C127" s="201"/>
      <c r="D127" s="201"/>
      <c r="E127" s="451"/>
      <c r="F127" s="124"/>
      <c r="G127" s="127"/>
      <c r="H127" s="124"/>
      <c r="I127" s="124"/>
      <c r="J127" s="124"/>
    </row>
    <row r="128" spans="1:10" ht="21">
      <c r="A128" s="185">
        <v>1</v>
      </c>
      <c r="B128" s="195" t="s">
        <v>238</v>
      </c>
      <c r="C128" s="203">
        <v>85000</v>
      </c>
      <c r="D128" s="203">
        <v>0</v>
      </c>
      <c r="E128" s="452">
        <v>0</v>
      </c>
      <c r="F128" s="124"/>
      <c r="G128" s="127"/>
      <c r="H128" s="124"/>
      <c r="I128" s="124"/>
      <c r="J128" s="124"/>
    </row>
    <row r="129" spans="1:10" ht="21">
      <c r="A129" s="185">
        <v>2</v>
      </c>
      <c r="B129" s="195" t="s">
        <v>276</v>
      </c>
      <c r="C129" s="203">
        <v>5000</v>
      </c>
      <c r="D129" s="203">
        <v>0</v>
      </c>
      <c r="E129" s="452">
        <v>3523</v>
      </c>
      <c r="F129" s="124"/>
      <c r="G129" s="127"/>
      <c r="H129" s="124"/>
      <c r="I129" s="124"/>
      <c r="J129" s="124"/>
    </row>
    <row r="130" spans="1:10" ht="21">
      <c r="A130" s="463"/>
      <c r="B130" s="464"/>
      <c r="C130" s="202">
        <f>SUM(C128:C129)</f>
        <v>90000</v>
      </c>
      <c r="D130" s="202">
        <f>SUM(D128:D129)</f>
        <v>0</v>
      </c>
      <c r="E130" s="450">
        <f>SUM(E128:E129)</f>
        <v>3523</v>
      </c>
      <c r="F130" s="124"/>
      <c r="G130" s="127"/>
      <c r="H130" s="124"/>
      <c r="I130" s="124"/>
      <c r="J130" s="124"/>
    </row>
    <row r="131" spans="1:10" ht="21">
      <c r="A131" s="304"/>
      <c r="B131" s="460"/>
      <c r="C131" s="461"/>
      <c r="D131" s="461"/>
      <c r="E131" s="462"/>
      <c r="F131" s="124"/>
      <c r="G131" s="127"/>
      <c r="H131" s="124"/>
      <c r="I131" s="124"/>
      <c r="J131" s="124"/>
    </row>
    <row r="132" spans="1:10" ht="21">
      <c r="A132" s="304"/>
      <c r="B132" s="460"/>
      <c r="C132" s="474"/>
      <c r="D132" s="474"/>
      <c r="E132" s="475"/>
      <c r="F132" s="124"/>
      <c r="G132" s="127"/>
      <c r="H132" s="124"/>
      <c r="I132" s="124"/>
      <c r="J132" s="124"/>
    </row>
    <row r="133" spans="1:10" ht="21">
      <c r="A133" s="495" t="s">
        <v>72</v>
      </c>
      <c r="B133" s="495"/>
      <c r="C133" s="495"/>
      <c r="D133" s="495"/>
      <c r="E133" s="495"/>
      <c r="F133" s="124"/>
      <c r="G133" s="127"/>
      <c r="H133" s="124"/>
      <c r="I133" s="124"/>
      <c r="J133" s="124"/>
    </row>
    <row r="134" spans="1:10" ht="21">
      <c r="A134" s="198" t="s">
        <v>36</v>
      </c>
      <c r="B134" s="197"/>
      <c r="C134" s="201"/>
      <c r="D134" s="201"/>
      <c r="E134" s="451"/>
      <c r="F134" s="124"/>
      <c r="G134" s="127"/>
      <c r="H134" s="124"/>
      <c r="I134" s="124"/>
      <c r="J134" s="124"/>
    </row>
    <row r="135" spans="1:10" ht="21">
      <c r="A135" s="185">
        <v>1</v>
      </c>
      <c r="B135" s="195" t="s">
        <v>275</v>
      </c>
      <c r="C135" s="203">
        <v>1500</v>
      </c>
      <c r="D135" s="203">
        <v>0</v>
      </c>
      <c r="E135" s="452">
        <v>0</v>
      </c>
      <c r="F135" s="124"/>
      <c r="G135" s="127"/>
      <c r="H135" s="124"/>
      <c r="I135" s="124"/>
      <c r="J135" s="124"/>
    </row>
    <row r="136" spans="1:10" ht="21">
      <c r="A136" s="398"/>
      <c r="B136" s="399"/>
      <c r="C136" s="202">
        <f>SUM(C135)</f>
        <v>1500</v>
      </c>
      <c r="D136" s="202">
        <f>SUM(D135)</f>
        <v>0</v>
      </c>
      <c r="E136" s="450">
        <f>SUM(E135)</f>
        <v>0</v>
      </c>
      <c r="F136" s="124"/>
      <c r="G136" s="127"/>
      <c r="H136" s="124"/>
      <c r="I136" s="124"/>
      <c r="J136" s="124"/>
    </row>
    <row r="137" spans="1:10" ht="21">
      <c r="A137" s="400" t="s">
        <v>37</v>
      </c>
      <c r="B137" s="401"/>
      <c r="C137" s="402"/>
      <c r="D137" s="402"/>
      <c r="E137" s="453"/>
      <c r="F137" s="124"/>
      <c r="G137" s="127"/>
      <c r="H137" s="124"/>
      <c r="I137" s="124"/>
      <c r="J137" s="124"/>
    </row>
    <row r="138" spans="1:10" ht="21">
      <c r="A138" s="404">
        <v>1</v>
      </c>
      <c r="B138" s="403" t="s">
        <v>277</v>
      </c>
      <c r="C138" s="201">
        <v>1000</v>
      </c>
      <c r="D138" s="201">
        <v>0</v>
      </c>
      <c r="E138" s="451">
        <v>0</v>
      </c>
      <c r="F138" s="124"/>
      <c r="G138" s="127"/>
      <c r="H138" s="124"/>
      <c r="I138" s="124"/>
      <c r="J138" s="124"/>
    </row>
    <row r="139" spans="1:10" ht="21">
      <c r="A139" s="185">
        <v>2</v>
      </c>
      <c r="B139" s="195" t="s">
        <v>166</v>
      </c>
      <c r="C139" s="196">
        <v>4500000</v>
      </c>
      <c r="D139" s="196">
        <v>0</v>
      </c>
      <c r="E139" s="449">
        <f>767423.54+825010.58+951788.99+457100.08</f>
        <v>3001323.1900000004</v>
      </c>
      <c r="F139" s="124"/>
      <c r="G139" s="126"/>
      <c r="H139" s="124"/>
      <c r="I139" s="124"/>
      <c r="J139" s="124"/>
    </row>
    <row r="140" spans="1:10" ht="21">
      <c r="A140" s="185">
        <v>3</v>
      </c>
      <c r="B140" s="195" t="s">
        <v>167</v>
      </c>
      <c r="C140" s="196">
        <v>1600000</v>
      </c>
      <c r="D140" s="196">
        <v>128742.84</v>
      </c>
      <c r="E140" s="449">
        <f>116216.24+99234.22+122853.11+126860.67+97572.32+128404.15+140021.28+128742.84</f>
        <v>959904.8300000001</v>
      </c>
      <c r="F140" s="124"/>
      <c r="G140" s="126"/>
      <c r="H140" s="124"/>
      <c r="I140" s="124"/>
      <c r="J140" s="124"/>
    </row>
    <row r="141" spans="1:10" ht="21">
      <c r="A141" s="185">
        <v>4</v>
      </c>
      <c r="B141" s="195" t="s">
        <v>245</v>
      </c>
      <c r="C141" s="196">
        <v>21000</v>
      </c>
      <c r="D141" s="196">
        <v>0</v>
      </c>
      <c r="E141" s="449">
        <f>11461.9+12667.59</f>
        <v>24129.489999999998</v>
      </c>
      <c r="F141" s="124"/>
      <c r="G141" s="126"/>
      <c r="H141" s="124"/>
      <c r="I141" s="124"/>
      <c r="J141" s="124"/>
    </row>
    <row r="142" spans="1:10" ht="21">
      <c r="A142" s="185">
        <v>5</v>
      </c>
      <c r="B142" s="195" t="s">
        <v>153</v>
      </c>
      <c r="C142" s="196">
        <v>700000</v>
      </c>
      <c r="D142" s="196">
        <v>68159.34</v>
      </c>
      <c r="E142" s="449">
        <f>60804.18+7758.4+119806.36+83717.21+70547.78+73052.78+86424.75+68159.34</f>
        <v>570270.8</v>
      </c>
      <c r="F142" s="124"/>
      <c r="G142" s="126"/>
      <c r="H142" s="124"/>
      <c r="I142" s="124"/>
      <c r="J142" s="124"/>
    </row>
    <row r="143" spans="1:10" ht="21">
      <c r="A143" s="185">
        <v>6</v>
      </c>
      <c r="B143" s="195" t="s">
        <v>154</v>
      </c>
      <c r="C143" s="196">
        <v>2000000</v>
      </c>
      <c r="D143" s="196">
        <v>191284.64</v>
      </c>
      <c r="E143" s="449">
        <f>180442.85+28970.82+310563.66+189656.82+197112.47+183751.65+191555.38+191284.64</f>
        <v>1473338.29</v>
      </c>
      <c r="F143" s="124"/>
      <c r="G143" s="126"/>
      <c r="H143" s="124"/>
      <c r="I143" s="124"/>
      <c r="J143" s="124"/>
    </row>
    <row r="144" spans="1:10" ht="21">
      <c r="A144" s="185">
        <v>7</v>
      </c>
      <c r="B144" s="195" t="s">
        <v>220</v>
      </c>
      <c r="C144" s="200">
        <v>52000</v>
      </c>
      <c r="D144" s="200">
        <v>0</v>
      </c>
      <c r="E144" s="452">
        <f>39148.14+16072.75</f>
        <v>55220.89</v>
      </c>
      <c r="F144" s="124"/>
      <c r="G144" s="126"/>
      <c r="H144" s="124"/>
      <c r="I144" s="124"/>
      <c r="J144" s="124"/>
    </row>
    <row r="145" spans="1:10" ht="21">
      <c r="A145" s="185">
        <v>8</v>
      </c>
      <c r="B145" s="195" t="s">
        <v>221</v>
      </c>
      <c r="C145" s="200">
        <v>37000</v>
      </c>
      <c r="D145" s="200">
        <v>0</v>
      </c>
      <c r="E145" s="452">
        <f>11630.5+10353.7+10636.15</f>
        <v>32620.35</v>
      </c>
      <c r="F145" s="124"/>
      <c r="G145" s="126"/>
      <c r="H145" s="124"/>
      <c r="I145" s="124"/>
      <c r="J145" s="124"/>
    </row>
    <row r="146" spans="1:10" ht="21">
      <c r="A146" s="185">
        <v>9</v>
      </c>
      <c r="B146" s="195" t="s">
        <v>155</v>
      </c>
      <c r="C146" s="200">
        <v>530000</v>
      </c>
      <c r="D146" s="200">
        <v>84204</v>
      </c>
      <c r="E146" s="452">
        <f>58838+41411+35189+28110+20335+29873+21329+19309+84204</f>
        <v>338598</v>
      </c>
      <c r="F146" s="124"/>
      <c r="G146" s="126"/>
      <c r="H146" s="124"/>
      <c r="I146" s="124"/>
      <c r="J146" s="124"/>
    </row>
    <row r="147" spans="1:10" ht="21">
      <c r="A147" s="185">
        <v>10</v>
      </c>
      <c r="B147" s="195" t="s">
        <v>278</v>
      </c>
      <c r="C147" s="200">
        <v>1000</v>
      </c>
      <c r="D147" s="200"/>
      <c r="E147" s="452"/>
      <c r="F147" s="124"/>
      <c r="G147" s="126"/>
      <c r="H147" s="124"/>
      <c r="I147" s="124"/>
      <c r="J147" s="124"/>
    </row>
    <row r="148" spans="1:10" ht="21">
      <c r="A148" s="185"/>
      <c r="B148" s="195"/>
      <c r="C148" s="200"/>
      <c r="D148" s="200"/>
      <c r="E148" s="452"/>
      <c r="F148" s="124"/>
      <c r="G148" s="126"/>
      <c r="H148" s="124"/>
      <c r="I148" s="124"/>
      <c r="J148" s="124"/>
    </row>
    <row r="149" spans="1:10" ht="21">
      <c r="A149" s="195"/>
      <c r="B149" s="197"/>
      <c r="C149" s="202">
        <f>SUM(C138:C148)</f>
        <v>9442000</v>
      </c>
      <c r="D149" s="202">
        <f>SUM(D138:D148)</f>
        <v>472390.82</v>
      </c>
      <c r="E149" s="450">
        <f>SUM(E138:E148)</f>
        <v>6455405.84</v>
      </c>
      <c r="F149" s="124"/>
      <c r="G149" s="127"/>
      <c r="H149" s="124"/>
      <c r="I149" s="124"/>
      <c r="J149" s="124"/>
    </row>
    <row r="150" spans="1:10" ht="21">
      <c r="A150" s="198" t="s">
        <v>132</v>
      </c>
      <c r="B150" s="197"/>
      <c r="C150" s="204"/>
      <c r="D150" s="204"/>
      <c r="E150" s="457"/>
      <c r="F150" s="124"/>
      <c r="G150" s="126"/>
      <c r="H150" s="124"/>
      <c r="I150" s="124"/>
      <c r="J150" s="124"/>
    </row>
    <row r="151" spans="1:10" ht="21">
      <c r="A151" s="185">
        <v>1</v>
      </c>
      <c r="B151" s="195" t="s">
        <v>222</v>
      </c>
      <c r="C151" s="200">
        <v>8071150</v>
      </c>
      <c r="D151" s="200">
        <v>0</v>
      </c>
      <c r="E151" s="452">
        <f>3225116+3225116</f>
        <v>6450232</v>
      </c>
      <c r="F151" s="124"/>
      <c r="G151" s="127"/>
      <c r="H151" s="124"/>
      <c r="I151" s="124"/>
      <c r="J151" s="124"/>
    </row>
    <row r="152" spans="1:10" ht="21">
      <c r="A152" s="185"/>
      <c r="B152" s="195"/>
      <c r="C152" s="245">
        <f>SUM(C151)</f>
        <v>8071150</v>
      </c>
      <c r="D152" s="245">
        <f>SUM(D151)</f>
        <v>0</v>
      </c>
      <c r="E152" s="450">
        <f>SUM(E151)</f>
        <v>6450232</v>
      </c>
      <c r="F152" s="124"/>
      <c r="G152" s="127"/>
      <c r="H152" s="124"/>
      <c r="I152" s="124"/>
      <c r="J152" s="124"/>
    </row>
    <row r="153" spans="1:10" ht="21">
      <c r="A153" s="235" t="s">
        <v>182</v>
      </c>
      <c r="B153" s="204"/>
      <c r="C153" s="204"/>
      <c r="D153" s="204"/>
      <c r="E153" s="451"/>
      <c r="F153" s="124"/>
      <c r="G153" s="126"/>
      <c r="H153" s="124"/>
      <c r="I153" s="124"/>
      <c r="J153" s="124"/>
    </row>
    <row r="154" spans="1:10" ht="21">
      <c r="A154" s="185">
        <v>1</v>
      </c>
      <c r="B154" s="195" t="s">
        <v>292</v>
      </c>
      <c r="C154" s="200"/>
      <c r="D154" s="200">
        <v>0</v>
      </c>
      <c r="E154" s="449">
        <v>33000</v>
      </c>
      <c r="F154" s="124"/>
      <c r="G154" s="127"/>
      <c r="H154" s="124"/>
      <c r="I154" s="124"/>
      <c r="J154" s="124"/>
    </row>
    <row r="155" spans="1:10" ht="21">
      <c r="A155" s="185">
        <v>2</v>
      </c>
      <c r="B155" s="195" t="s">
        <v>293</v>
      </c>
      <c r="C155" s="200"/>
      <c r="D155" s="200">
        <v>0</v>
      </c>
      <c r="E155" s="449">
        <f>279000+279000</f>
        <v>558000</v>
      </c>
      <c r="F155" s="124"/>
      <c r="G155" s="127"/>
      <c r="H155" s="124"/>
      <c r="I155" s="124"/>
      <c r="J155" s="124"/>
    </row>
    <row r="156" spans="1:10" ht="21">
      <c r="A156" s="185">
        <v>3</v>
      </c>
      <c r="B156" s="195" t="s">
        <v>294</v>
      </c>
      <c r="C156" s="200"/>
      <c r="D156" s="200">
        <v>0</v>
      </c>
      <c r="E156" s="449">
        <f>2412000+1698000+126000</f>
        <v>4236000</v>
      </c>
      <c r="F156" s="124"/>
      <c r="G156" s="127"/>
      <c r="H156" s="124"/>
      <c r="I156" s="124"/>
      <c r="J156" s="124"/>
    </row>
    <row r="157" spans="1:10" ht="21">
      <c r="A157" s="185">
        <v>4</v>
      </c>
      <c r="B157" s="195" t="s">
        <v>297</v>
      </c>
      <c r="C157" s="200"/>
      <c r="D157" s="200">
        <v>0</v>
      </c>
      <c r="E157" s="449">
        <v>30000</v>
      </c>
      <c r="F157" s="124"/>
      <c r="G157" s="127"/>
      <c r="H157" s="124"/>
      <c r="I157" s="124"/>
      <c r="J157" s="124"/>
    </row>
    <row r="158" spans="1:10" ht="21">
      <c r="A158" s="185">
        <v>5</v>
      </c>
      <c r="B158" s="195" t="s">
        <v>303</v>
      </c>
      <c r="C158" s="200"/>
      <c r="D158" s="200">
        <v>87402</v>
      </c>
      <c r="E158" s="449">
        <f>315168+78792+78792+213836+87402</f>
        <v>773990</v>
      </c>
      <c r="F158" s="124"/>
      <c r="G158" s="127"/>
      <c r="H158" s="124"/>
      <c r="I158" s="124"/>
      <c r="J158" s="124"/>
    </row>
    <row r="159" spans="1:10" ht="21">
      <c r="A159" s="185"/>
      <c r="B159" s="195"/>
      <c r="C159" s="233"/>
      <c r="D159" s="233"/>
      <c r="E159" s="452"/>
      <c r="F159" s="124"/>
      <c r="G159" s="127"/>
      <c r="H159" s="124"/>
      <c r="I159" s="124"/>
      <c r="J159" s="124"/>
    </row>
    <row r="160" spans="1:10" ht="21">
      <c r="A160" s="195"/>
      <c r="B160" s="197"/>
      <c r="C160" s="205">
        <f>SUM(C154:C159)</f>
        <v>0</v>
      </c>
      <c r="D160" s="205">
        <f>SUM(D154:D159)</f>
        <v>87402</v>
      </c>
      <c r="E160" s="450">
        <f>SUM(E154:E159)</f>
        <v>5630990</v>
      </c>
      <c r="F160" s="124"/>
      <c r="G160" s="127"/>
      <c r="H160" s="124"/>
      <c r="I160" s="124"/>
      <c r="J160" s="124"/>
    </row>
    <row r="161" spans="1:10" ht="21.75" thickBot="1">
      <c r="A161" s="193"/>
      <c r="B161" s="194"/>
      <c r="C161" s="199">
        <f>C108+C120+C123+C126+C130+C136+C149+C152+C160</f>
        <v>18042650</v>
      </c>
      <c r="D161" s="199">
        <f>D108+D120+D123+D126+D130+D136+D149+D152+D160</f>
        <v>628139.69</v>
      </c>
      <c r="E161" s="199">
        <f>E108+E120+E123+E126+E130+E136+E149+E152+E160</f>
        <v>18837424.21</v>
      </c>
      <c r="F161" s="124"/>
      <c r="G161" s="127"/>
      <c r="H161" s="124"/>
      <c r="I161" s="124"/>
      <c r="J161" s="124"/>
    </row>
    <row r="162" spans="1:10" ht="21.75" thickTop="1">
      <c r="A162" s="125"/>
      <c r="B162" s="124"/>
      <c r="C162" s="124"/>
      <c r="D162" s="124"/>
      <c r="E162" s="458"/>
      <c r="F162" s="124"/>
      <c r="G162" s="127"/>
      <c r="H162" s="124"/>
      <c r="I162" s="124"/>
      <c r="J162" s="124"/>
    </row>
    <row r="163" spans="1:10" ht="23.25">
      <c r="A163" s="125"/>
      <c r="B163" s="77"/>
      <c r="C163" s="111" t="s">
        <v>98</v>
      </c>
      <c r="D163" s="77"/>
      <c r="E163" s="458"/>
      <c r="F163" s="124"/>
      <c r="G163" s="127"/>
      <c r="H163" s="124"/>
      <c r="I163" s="124"/>
      <c r="J163" s="124"/>
    </row>
    <row r="164" spans="1:10" ht="23.25">
      <c r="A164" s="125"/>
      <c r="B164" s="77"/>
      <c r="C164" s="111"/>
      <c r="D164" s="77"/>
      <c r="E164" s="458"/>
      <c r="F164" s="124"/>
      <c r="G164" s="127"/>
      <c r="H164" s="124"/>
      <c r="I164" s="124"/>
      <c r="J164" s="124"/>
    </row>
    <row r="165" spans="1:10" ht="23.25">
      <c r="A165" s="125"/>
      <c r="B165" s="77"/>
      <c r="C165" s="111" t="s">
        <v>306</v>
      </c>
      <c r="D165" s="77"/>
      <c r="E165" s="458"/>
      <c r="F165" s="124"/>
      <c r="G165" s="127"/>
      <c r="H165" s="124"/>
      <c r="I165" s="124"/>
      <c r="J165" s="124"/>
    </row>
    <row r="166" spans="3:6" ht="23.25">
      <c r="C166" s="111" t="s">
        <v>97</v>
      </c>
      <c r="F166" s="92"/>
    </row>
    <row r="167" spans="2:4" ht="23.25">
      <c r="B167" s="77"/>
      <c r="C167" s="111"/>
      <c r="D167" s="77"/>
    </row>
    <row r="168" spans="2:4" ht="23.25">
      <c r="B168" s="77"/>
      <c r="C168" s="111"/>
      <c r="D168" s="77"/>
    </row>
    <row r="169" spans="2:4" ht="23.25">
      <c r="B169" s="77"/>
      <c r="C169" s="111"/>
      <c r="D169" s="77"/>
    </row>
    <row r="170" spans="2:4" ht="23.25">
      <c r="B170" s="77"/>
      <c r="C170" s="111"/>
      <c r="D170" s="77"/>
    </row>
    <row r="171" spans="2:4" ht="23.25">
      <c r="B171" s="77"/>
      <c r="C171" s="111"/>
      <c r="D171" s="77"/>
    </row>
    <row r="172" spans="2:4" ht="23.25">
      <c r="B172" s="77"/>
      <c r="C172" s="111"/>
      <c r="D172" s="77"/>
    </row>
    <row r="173" spans="2:4" ht="23.25">
      <c r="B173" s="77"/>
      <c r="C173" s="111"/>
      <c r="D173" s="77"/>
    </row>
    <row r="174" spans="2:4" ht="23.25">
      <c r="B174" s="77"/>
      <c r="C174" s="111"/>
      <c r="D174" s="77"/>
    </row>
    <row r="175" spans="2:4" ht="23.25">
      <c r="B175" s="77"/>
      <c r="C175" s="111"/>
      <c r="D175" s="77"/>
    </row>
  </sheetData>
  <mergeCells count="17">
    <mergeCell ref="A100:E100"/>
    <mergeCell ref="A101:E101"/>
    <mergeCell ref="A102:E102"/>
    <mergeCell ref="A1:E1"/>
    <mergeCell ref="A2:E2"/>
    <mergeCell ref="A3:E3"/>
    <mergeCell ref="A4:E4"/>
    <mergeCell ref="A133:E133"/>
    <mergeCell ref="A34:E34"/>
    <mergeCell ref="A35:E35"/>
    <mergeCell ref="A36:E36"/>
    <mergeCell ref="A37:E37"/>
    <mergeCell ref="A67:E67"/>
    <mergeCell ref="A68:E68"/>
    <mergeCell ref="A69:E69"/>
    <mergeCell ref="A70:E70"/>
    <mergeCell ref="A99:E99"/>
  </mergeCells>
  <printOptions/>
  <pageMargins left="0.5" right="0.25" top="1" bottom="1" header="0.75" footer="0.7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view="pageBreakPreview" zoomScaleSheetLayoutView="100" workbookViewId="0" topLeftCell="A1">
      <selection activeCell="B17" sqref="B17"/>
    </sheetView>
  </sheetViews>
  <sheetFormatPr defaultColWidth="9.140625" defaultRowHeight="21.75"/>
  <cols>
    <col min="1" max="1" width="4.140625" style="111" customWidth="1"/>
    <col min="2" max="2" width="41.00390625" style="77" bestFit="1" customWidth="1"/>
    <col min="3" max="4" width="12.7109375" style="117" bestFit="1" customWidth="1"/>
    <col min="5" max="5" width="13.7109375" style="117" customWidth="1"/>
    <col min="6" max="6" width="12.7109375" style="117" bestFit="1" customWidth="1"/>
    <col min="7" max="7" width="13.421875" style="117" customWidth="1"/>
    <col min="8" max="16384" width="9.140625" style="77" customWidth="1"/>
  </cols>
  <sheetData>
    <row r="1" spans="1:7" ht="23.25">
      <c r="A1" s="493" t="s">
        <v>308</v>
      </c>
      <c r="B1" s="493"/>
      <c r="C1" s="493"/>
      <c r="D1" s="493"/>
      <c r="E1" s="493"/>
      <c r="F1" s="493"/>
      <c r="G1" s="493"/>
    </row>
    <row r="2" spans="1:7" ht="23.25">
      <c r="A2" s="494" t="s">
        <v>148</v>
      </c>
      <c r="B2" s="494"/>
      <c r="C2" s="494"/>
      <c r="D2" s="494"/>
      <c r="E2" s="494"/>
      <c r="F2" s="494"/>
      <c r="G2" s="494"/>
    </row>
    <row r="3" spans="1:7" ht="23.25">
      <c r="A3" s="494" t="s">
        <v>337</v>
      </c>
      <c r="B3" s="494"/>
      <c r="C3" s="494"/>
      <c r="D3" s="494"/>
      <c r="E3" s="494"/>
      <c r="F3" s="494"/>
      <c r="G3" s="494"/>
    </row>
    <row r="4" spans="1:7" ht="23.25">
      <c r="A4" s="494" t="s">
        <v>307</v>
      </c>
      <c r="B4" s="494"/>
      <c r="C4" s="494"/>
      <c r="D4" s="494"/>
      <c r="E4" s="494"/>
      <c r="F4" s="494"/>
      <c r="G4" s="494"/>
    </row>
    <row r="5" spans="1:7" ht="23.25">
      <c r="A5" s="90"/>
      <c r="B5" s="90"/>
      <c r="C5" s="207"/>
      <c r="D5" s="207"/>
      <c r="E5" s="207"/>
      <c r="F5" s="207"/>
      <c r="G5" s="207"/>
    </row>
    <row r="6" spans="1:7" s="90" customFormat="1" ht="23.25">
      <c r="A6" s="535" t="s">
        <v>146</v>
      </c>
      <c r="B6" s="535" t="s">
        <v>26</v>
      </c>
      <c r="C6" s="534" t="s">
        <v>188</v>
      </c>
      <c r="D6" s="534"/>
      <c r="E6" s="534" t="s">
        <v>43</v>
      </c>
      <c r="F6" s="534"/>
      <c r="G6" s="531" t="s">
        <v>147</v>
      </c>
    </row>
    <row r="7" spans="1:7" s="90" customFormat="1" ht="23.25">
      <c r="A7" s="535"/>
      <c r="B7" s="535"/>
      <c r="C7" s="465" t="s">
        <v>23</v>
      </c>
      <c r="D7" s="465" t="s">
        <v>151</v>
      </c>
      <c r="E7" s="465" t="s">
        <v>23</v>
      </c>
      <c r="F7" s="465" t="s">
        <v>151</v>
      </c>
      <c r="G7" s="531"/>
    </row>
    <row r="8" spans="1:7" ht="23.25">
      <c r="A8" s="101">
        <v>1</v>
      </c>
      <c r="B8" s="242" t="s">
        <v>309</v>
      </c>
      <c r="C8" s="243">
        <v>0</v>
      </c>
      <c r="D8" s="243">
        <v>33000</v>
      </c>
      <c r="E8" s="243">
        <v>0</v>
      </c>
      <c r="F8" s="243">
        <v>33000</v>
      </c>
      <c r="G8" s="243">
        <f>D8-F8</f>
        <v>0</v>
      </c>
    </row>
    <row r="9" spans="1:7" ht="23.25">
      <c r="A9" s="466">
        <v>2</v>
      </c>
      <c r="B9" s="467" t="s">
        <v>310</v>
      </c>
      <c r="C9" s="468">
        <v>0</v>
      </c>
      <c r="D9" s="468">
        <f>279000+279000</f>
        <v>558000</v>
      </c>
      <c r="E9" s="468">
        <v>45000</v>
      </c>
      <c r="F9" s="468">
        <f>139500+46000+47500+46000+91000+45000</f>
        <v>415000</v>
      </c>
      <c r="G9" s="468">
        <f>D9-F9</f>
        <v>143000</v>
      </c>
    </row>
    <row r="10" spans="1:7" ht="23.25">
      <c r="A10" s="466">
        <v>3</v>
      </c>
      <c r="B10" s="467" t="s">
        <v>311</v>
      </c>
      <c r="C10" s="468">
        <v>0</v>
      </c>
      <c r="D10" s="468">
        <f>2412000+1698000+126000</f>
        <v>4236000</v>
      </c>
      <c r="E10" s="468">
        <v>434000</v>
      </c>
      <c r="F10" s="468">
        <f>1234000+409500+412500+356000+922500+434000</f>
        <v>3768500</v>
      </c>
      <c r="G10" s="468">
        <f>D10-F10</f>
        <v>467500</v>
      </c>
    </row>
    <row r="11" spans="1:7" ht="23.25">
      <c r="A11" s="466">
        <v>4</v>
      </c>
      <c r="B11" s="467" t="s">
        <v>312</v>
      </c>
      <c r="C11" s="468">
        <v>0</v>
      </c>
      <c r="D11" s="468">
        <v>30000</v>
      </c>
      <c r="E11" s="468">
        <v>0</v>
      </c>
      <c r="F11" s="468">
        <v>0</v>
      </c>
      <c r="G11" s="468">
        <f>D11-F11</f>
        <v>30000</v>
      </c>
    </row>
    <row r="12" spans="1:7" ht="23.25">
      <c r="A12" s="466">
        <v>5</v>
      </c>
      <c r="B12" s="467" t="s">
        <v>313</v>
      </c>
      <c r="C12" s="468">
        <v>87402</v>
      </c>
      <c r="D12" s="468">
        <f>315168+78792+78792+213836+87402</f>
        <v>773990</v>
      </c>
      <c r="E12" s="468">
        <v>259903</v>
      </c>
      <c r="F12" s="468">
        <f>225680+89488+153832+40925+259903</f>
        <v>769828</v>
      </c>
      <c r="G12" s="468">
        <f>D12-F12</f>
        <v>4162</v>
      </c>
    </row>
    <row r="13" spans="1:7" ht="23.25">
      <c r="A13" s="101"/>
      <c r="B13" s="242"/>
      <c r="C13" s="243"/>
      <c r="D13" s="243"/>
      <c r="E13" s="243"/>
      <c r="F13" s="243"/>
      <c r="G13" s="243"/>
    </row>
    <row r="14" spans="1:7" ht="23.25">
      <c r="A14" s="532" t="s">
        <v>16</v>
      </c>
      <c r="B14" s="533"/>
      <c r="C14" s="469">
        <f>SUM(C8:C12)</f>
        <v>87402</v>
      </c>
      <c r="D14" s="469">
        <f>SUM(D8:D12)</f>
        <v>5630990</v>
      </c>
      <c r="E14" s="469">
        <f>SUM(E8:E12)</f>
        <v>738903</v>
      </c>
      <c r="F14" s="469">
        <f>SUM(F8:F12)</f>
        <v>4986328</v>
      </c>
      <c r="G14" s="469">
        <f>SUM(G8:G12)</f>
        <v>644662</v>
      </c>
    </row>
    <row r="23" ht="23.25">
      <c r="E23" s="111" t="s">
        <v>98</v>
      </c>
    </row>
    <row r="24" ht="23.25">
      <c r="E24" s="77"/>
    </row>
    <row r="25" ht="23.25">
      <c r="E25" s="111" t="s">
        <v>300</v>
      </c>
    </row>
    <row r="26" ht="23.25">
      <c r="E26" s="111" t="s">
        <v>97</v>
      </c>
    </row>
  </sheetData>
  <mergeCells count="10">
    <mergeCell ref="A1:G1"/>
    <mergeCell ref="A2:G2"/>
    <mergeCell ref="A3:G3"/>
    <mergeCell ref="A4:G4"/>
    <mergeCell ref="G6:G7"/>
    <mergeCell ref="A14:B14"/>
    <mergeCell ref="C6:D6"/>
    <mergeCell ref="E6:F6"/>
    <mergeCell ref="A6:A7"/>
    <mergeCell ref="B6:B7"/>
  </mergeCells>
  <printOptions/>
  <pageMargins left="0.5" right="0.25" top="1" bottom="1" header="0.5" footer="0.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C&amp;c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การเงินและบัญชี</cp:lastModifiedBy>
  <cp:lastPrinted>2011-08-24T04:54:08Z</cp:lastPrinted>
  <dcterms:created xsi:type="dcterms:W3CDTF">2006-01-23T06:43:20Z</dcterms:created>
  <dcterms:modified xsi:type="dcterms:W3CDTF">2011-08-24T09:14:24Z</dcterms:modified>
  <cp:category/>
  <cp:version/>
  <cp:contentType/>
  <cp:contentStatus/>
</cp:coreProperties>
</file>